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dmueller/Desktop/WORK/fp/Berechnung ECP/02b geschützt/211015-PEF FW:NW 309 5:"/>
    </mc:Choice>
  </mc:AlternateContent>
  <xr:revisionPtr revIDLastSave="0" documentId="13_ncr:1_{68C4FBBA-7FF6-8746-8861-ED13B5F183A3}" xr6:coauthVersionLast="47" xr6:coauthVersionMax="47" xr10:uidLastSave="{00000000-0000-0000-0000-000000000000}"/>
  <bookViews>
    <workbookView xWindow="0" yWindow="0" windowWidth="28800" windowHeight="18000" xr2:uid="{19557C1C-CB80-3B43-B548-E504961C0E63}"/>
  </bookViews>
  <sheets>
    <sheet name="FW 309 Teil 1" sheetId="1" r:id="rId1"/>
    <sheet name="Hinweis" sheetId="3" r:id="rId2"/>
    <sheet name="Technische Daten" sheetId="2" r:id="rId3"/>
  </sheets>
  <definedNames>
    <definedName name="_xlnm.Print_Area" localSheetId="0">'FW 309 Teil 1'!$B$2:$G$71</definedName>
    <definedName name="EMFA_Strom_netzbezogen">'FW 309 Teil 1'!$AM$19</definedName>
    <definedName name="EMFA_Verdrängungsmix">'FW 309 Teil 1'!$AM$20</definedName>
    <definedName name="Fern_Nahwaerme_vorhanden">'FW 309 Teil 1'!#REF!</definedName>
    <definedName name="KWK_Deckungsanteil">'FW 309 Teil 1'!$Z$9</definedName>
    <definedName name="Nutzungsgrad_BHKW">'FW 309 Teil 1'!#REF!</definedName>
    <definedName name="Nutzungsgrad_BHKW_laut_Hersteller">'FW 309 Teil 1'!#REF!</definedName>
    <definedName name="Nutzungsgrad_Kessel">'FW 309 Teil 1'!#REF!</definedName>
    <definedName name="PEF_Brennstoff_BHKW">'FW 309 Teil 1'!$AB$101</definedName>
    <definedName name="PEF_Brennstoff_Kessel">'FW 309 Teil 1'!$AB$103</definedName>
    <definedName name="PEF_verdraengter_Strom">'FW 309 Teil 1'!$AB$106</definedName>
    <definedName name="Strom_netzbezogen">'FW 309 Teil 1'!$AL$19</definedName>
    <definedName name="Stromkennzahl">'FW 309 Teil 1'!#REF!</definedName>
    <definedName name="Tabelle_1">'FW 309 Teil 1'!$Y$6:$AE$14</definedName>
    <definedName name="Tabelle_2">'FW 309 Teil 1'!$Y$19:$AC$34</definedName>
    <definedName name="Tabelle_3">'FW 309 Teil 1'!$AE$19:$AI$36</definedName>
    <definedName name="Tabelle_4">'FW 309 Teil 1'!$AK$19:$AM$20</definedName>
    <definedName name="Tabelle_5">'FW 309 Teil 1'!$Y$44:$Z$58</definedName>
    <definedName name="Tabelle_6">'FW 309 Teil 1'!$AC$49:$AD$90</definedName>
    <definedName name="Tabelle_7">'FW 309 Teil 1'!$AG$49:$AH$66</definedName>
    <definedName name="Verdrängungsstrommix_für_KWK">'FW 309 Teil 1'!$AL$20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L14" i="1"/>
  <c r="L13" i="1"/>
  <c r="L12" i="1"/>
  <c r="L9" i="1"/>
  <c r="L8" i="1"/>
  <c r="L7" i="1"/>
  <c r="L6" i="1"/>
  <c r="D28" i="1" l="1"/>
  <c r="M20" i="1"/>
  <c r="J20" i="1"/>
  <c r="J50" i="1" s="1"/>
  <c r="K17" i="1"/>
  <c r="K14" i="1"/>
  <c r="K13" i="1"/>
  <c r="K12" i="1"/>
  <c r="K9" i="1"/>
  <c r="K8" i="1"/>
  <c r="K7" i="1"/>
  <c r="M14" i="1"/>
  <c r="J14" i="1"/>
  <c r="J44" i="1" s="1"/>
  <c r="M13" i="1"/>
  <c r="J13" i="1"/>
  <c r="J43" i="1" s="1"/>
  <c r="K6" i="1" l="1"/>
  <c r="K27" i="1" s="1"/>
  <c r="S20" i="1"/>
  <c r="S14" i="1"/>
  <c r="S13" i="1"/>
  <c r="J17" i="1" l="1"/>
  <c r="J12" i="1"/>
  <c r="J42" i="1" s="1"/>
  <c r="J9" i="1"/>
  <c r="J39" i="1" s="1"/>
  <c r="J8" i="1"/>
  <c r="J38" i="1" s="1"/>
  <c r="J7" i="1"/>
  <c r="J6" i="1"/>
  <c r="J27" i="1" l="1"/>
  <c r="J36" i="1"/>
  <c r="J37" i="1"/>
  <c r="G20" i="1"/>
  <c r="G19" i="1"/>
  <c r="N17" i="1"/>
  <c r="M17" i="1"/>
  <c r="M12" i="1"/>
  <c r="Q7" i="1"/>
  <c r="Q8" i="1"/>
  <c r="Q9" i="1"/>
  <c r="Q6" i="1"/>
  <c r="M9" i="1"/>
  <c r="M8" i="1"/>
  <c r="M7" i="1"/>
  <c r="M6" i="1"/>
  <c r="Q22" i="1" l="1"/>
  <c r="P8" i="1"/>
  <c r="K38" i="1" s="1"/>
  <c r="Q23" i="1"/>
  <c r="P9" i="1"/>
  <c r="K39" i="1" s="1"/>
  <c r="L17" i="1"/>
  <c r="J47" i="1" s="1"/>
  <c r="J55" i="1" s="1"/>
  <c r="N6" i="1"/>
  <c r="O17" i="1"/>
  <c r="S17" i="1" s="1"/>
  <c r="S12" i="1"/>
  <c r="N7" i="1"/>
  <c r="N8" i="1"/>
  <c r="N9" i="1"/>
  <c r="P20" i="1" l="1"/>
  <c r="O20" i="1"/>
  <c r="P22" i="1"/>
  <c r="O22" i="1"/>
  <c r="P21" i="1"/>
  <c r="O21" i="1"/>
  <c r="P23" i="1"/>
  <c r="O23" i="1"/>
  <c r="G18" i="1"/>
  <c r="G17" i="1"/>
  <c r="L27" i="1"/>
  <c r="S28" i="1" s="1"/>
  <c r="O6" i="1"/>
  <c r="P6" i="1" s="1"/>
  <c r="O8" i="1"/>
  <c r="S8" i="1"/>
  <c r="S9" i="1"/>
  <c r="O9" i="1"/>
  <c r="O7" i="1"/>
  <c r="P7" i="1" s="1"/>
  <c r="R30" i="1" l="1"/>
  <c r="Q20" i="1"/>
  <c r="Q21" i="1"/>
  <c r="K36" i="1"/>
  <c r="D11" i="1"/>
  <c r="S6" i="1" l="1"/>
  <c r="Q24" i="1"/>
  <c r="G13" i="1" s="1"/>
  <c r="D14" i="1" s="1"/>
  <c r="E9" i="1"/>
  <c r="E10" i="1"/>
  <c r="K37" i="1"/>
  <c r="S7" i="1"/>
  <c r="D31" i="1"/>
  <c r="D29" i="1"/>
  <c r="D30" i="1"/>
  <c r="E28" i="1"/>
  <c r="K55" i="1" l="1"/>
  <c r="M40" i="1" s="1"/>
  <c r="S25" i="1"/>
  <c r="S26" i="1" s="1"/>
  <c r="E37" i="1" l="1"/>
  <c r="E38" i="1"/>
  <c r="S27" i="1"/>
  <c r="E36" i="1" s="1"/>
  <c r="M41" i="1"/>
  <c r="F42" i="1" s="1"/>
  <c r="M43" i="1"/>
  <c r="F41" i="1" s="1"/>
  <c r="E35" i="1"/>
  <c r="S31" i="1" l="1"/>
  <c r="F33" i="1" s="1"/>
</calcChain>
</file>

<file path=xl/sharedStrings.xml><?xml version="1.0" encoding="utf-8"?>
<sst xmlns="http://schemas.openxmlformats.org/spreadsheetml/2006/main" count="343" uniqueCount="184">
  <si>
    <t>Nutzungsgrad</t>
  </si>
  <si>
    <t>projektspezifischer Primärenergiefaktor:</t>
  </si>
  <si>
    <t>Eine verbindliche Berechnung kann nur durch einen durch die AGFW geprüften</t>
  </si>
  <si>
    <t>"fp-Gutachter FW 609", der eine gültige Prüfbescheinigung hat, angefertigt werden.</t>
  </si>
  <si>
    <t>Berechnung nach FW 309 für informatorische Zwecke und ohne Gewähr.</t>
  </si>
  <si>
    <t>Projektname:</t>
  </si>
  <si>
    <t>Ort, PLZ</t>
  </si>
  <si>
    <t>Verdrängungsstrommix für KWK</t>
  </si>
  <si>
    <t>Strom netzbezogen</t>
  </si>
  <si>
    <t>Netzverluste Fernwärmenetz</t>
  </si>
  <si>
    <t>Wärmeerzeugung gesamt</t>
  </si>
  <si>
    <t>Wärmeerzeugung</t>
  </si>
  <si>
    <t>Brennstoff</t>
  </si>
  <si>
    <t>XRGI 1</t>
  </si>
  <si>
    <t>XRGI 2</t>
  </si>
  <si>
    <t>XRGI 3</t>
  </si>
  <si>
    <t>XRGI 4</t>
  </si>
  <si>
    <t>Leistungszahl</t>
  </si>
  <si>
    <t>Anteil PV/Wind gebäudenah</t>
  </si>
  <si>
    <t>Wärmepumpe</t>
  </si>
  <si>
    <t>Sume Wärmeerzeugung</t>
  </si>
  <si>
    <t>Strom-</t>
  </si>
  <si>
    <t>erzeugung</t>
  </si>
  <si>
    <t>verbrauch</t>
  </si>
  <si>
    <t>export</t>
  </si>
  <si>
    <t>Energie-</t>
  </si>
  <si>
    <t>zufuhr</t>
  </si>
  <si>
    <t>Pel</t>
  </si>
  <si>
    <t>XRGI® 6</t>
  </si>
  <si>
    <t>XRGI® 9</t>
  </si>
  <si>
    <t>XRGI® 15</t>
  </si>
  <si>
    <t>XRGI® 20</t>
  </si>
  <si>
    <t>XRGI® 6 Br</t>
  </si>
  <si>
    <t>XRGI® 9 Br</t>
  </si>
  <si>
    <t>XRGI® 15 Br</t>
  </si>
  <si>
    <t>XRGI® 20 Br</t>
  </si>
  <si>
    <t>Spaltenindex</t>
  </si>
  <si>
    <t>eta th</t>
  </si>
  <si>
    <t>eta el</t>
  </si>
  <si>
    <t>EV Standby</t>
  </si>
  <si>
    <t>PEF</t>
  </si>
  <si>
    <t>Erdgas</t>
  </si>
  <si>
    <t>Flüssigas</t>
  </si>
  <si>
    <t>Biomethan</t>
  </si>
  <si>
    <t>Biogenes Flüssiggas</t>
  </si>
  <si>
    <t>Biogas vor Ort</t>
  </si>
  <si>
    <t>Brennstoff BHKW</t>
  </si>
  <si>
    <t>Brennstoff Kessel</t>
  </si>
  <si>
    <t>Nutzungsgrad Kessel</t>
  </si>
  <si>
    <t>Lesitungszahl chp</t>
  </si>
  <si>
    <t>Blockheizkraftwerk 1</t>
  </si>
  <si>
    <t>Blockheizkraftwerk 2</t>
  </si>
  <si>
    <t>Blockheizkraftwerk 3</t>
  </si>
  <si>
    <t>Blockheizkraftwerk 4</t>
  </si>
  <si>
    <t>BHKW-Typ</t>
  </si>
  <si>
    <t>CO2eq</t>
  </si>
  <si>
    <t>Anteil</t>
  </si>
  <si>
    <t> 0 %</t>
  </si>
  <si>
    <t> 5 %</t>
  </si>
  <si>
    <t> 10 %</t>
  </si>
  <si>
    <t> 15 %</t>
  </si>
  <si>
    <t> 20 %</t>
  </si>
  <si>
    <t> 25 %</t>
  </si>
  <si>
    <t> 30 %</t>
  </si>
  <si>
    <t> 35 %</t>
  </si>
  <si>
    <t> 40 %</t>
  </si>
  <si>
    <t> 45 %</t>
  </si>
  <si>
    <t> 50 %</t>
  </si>
  <si>
    <t> 55 %</t>
  </si>
  <si>
    <t> 60 %</t>
  </si>
  <si>
    <t> 70 %</t>
  </si>
  <si>
    <t> 75 %</t>
  </si>
  <si>
    <t> 80 %</t>
  </si>
  <si>
    <t> 65 %</t>
  </si>
  <si>
    <t xml:space="preserve"> -</t>
  </si>
  <si>
    <t>85 %</t>
  </si>
  <si>
    <t>86 %</t>
  </si>
  <si>
    <t>87 %</t>
  </si>
  <si>
    <t>88 %</t>
  </si>
  <si>
    <t>89 %</t>
  </si>
  <si>
    <t>90 %</t>
  </si>
  <si>
    <t>91 %</t>
  </si>
  <si>
    <t>92 %</t>
  </si>
  <si>
    <t>93 %</t>
  </si>
  <si>
    <t>94 %</t>
  </si>
  <si>
    <t>95 %</t>
  </si>
  <si>
    <t>96 %</t>
  </si>
  <si>
    <t>97 %</t>
  </si>
  <si>
    <t>98 %</t>
  </si>
  <si>
    <t>-</t>
  </si>
  <si>
    <r>
      <rPr>
        <b/>
        <sz val="16"/>
        <color theme="1"/>
        <rFont val="Calibri (Textkörper)_x0000_"/>
      </rPr>
      <t>Berechnung Primärenergiefaktor Fern-/Nahwärme</t>
    </r>
    <r>
      <rPr>
        <sz val="12"/>
        <color theme="1"/>
        <rFont val="Calibri"/>
        <family val="2"/>
        <scheme val="minor"/>
      </rPr>
      <t xml:space="preserve">
</t>
    </r>
    <r>
      <rPr>
        <sz val="14"/>
        <color theme="1"/>
        <rFont val="Calibri (Textkörper)_x0000_"/>
      </rPr>
      <t>nach FW 309 Teil 1, Mai 2021
Pkt. 6: Berechnung auf Basis von Planungsdaten</t>
    </r>
  </si>
  <si>
    <t>Benutzungs-</t>
  </si>
  <si>
    <t>stunden</t>
  </si>
  <si>
    <t>Betrieb Eigen-</t>
  </si>
  <si>
    <t>Standby Eigen-</t>
  </si>
  <si>
    <t>Tabelle 2 Brennstoff BHKW:</t>
  </si>
  <si>
    <t>Tabelle 3 Brennstoff Kessel:</t>
  </si>
  <si>
    <t>Tabelle 4 Strom:</t>
  </si>
  <si>
    <t>Tabelle 5 Nutzungsgrad Kessel:</t>
  </si>
  <si>
    <t>Tabelle 6 Leistungszahl Wärmepumpe:</t>
  </si>
  <si>
    <t>Tabelle 7 Anteil PV/Wind gebäudenah:</t>
  </si>
  <si>
    <t>fp</t>
  </si>
  <si>
    <t>fp Anteil</t>
  </si>
  <si>
    <t>PV/Wind gebäudenah</t>
  </si>
  <si>
    <t>IST Projekt</t>
  </si>
  <si>
    <t>Summe</t>
  </si>
  <si>
    <t>Wärmelieferung an Kunden</t>
  </si>
  <si>
    <t xml:space="preserve">  Anteil Kessel</t>
  </si>
  <si>
    <t xml:space="preserve">  Anteil Wärmepumpe</t>
  </si>
  <si>
    <t>Tabelle 1 mit BHKW Daten laut technischen Datenblättern (Herstellerangaben)</t>
  </si>
  <si>
    <r>
      <t xml:space="preserve">Wärmepumpe </t>
    </r>
    <r>
      <rPr>
        <sz val="10"/>
        <color theme="1"/>
        <rFont val="Calibri (Textkörper)"/>
      </rPr>
      <t>(ggfs. mit el. Nachheizer)</t>
    </r>
  </si>
  <si>
    <t>FE</t>
  </si>
  <si>
    <t>EE</t>
  </si>
  <si>
    <t>fossil/erneuerbar</t>
  </si>
  <si>
    <t>Erneuerbare</t>
  </si>
  <si>
    <t>fp Rechnung</t>
  </si>
  <si>
    <t>Fp Kappung 1</t>
  </si>
  <si>
    <t>fp Absenkung unterhalb 0,3:</t>
  </si>
  <si>
    <t>fp final</t>
  </si>
  <si>
    <t>EE-Anteil:</t>
  </si>
  <si>
    <t>Spitzenlastkessel 1</t>
  </si>
  <si>
    <t>Spitzenlastkessel 2</t>
  </si>
  <si>
    <t>Spitzenlastkessel 3</t>
  </si>
  <si>
    <t>Heizöl</t>
  </si>
  <si>
    <t xml:space="preserve">  Anteil Blockheizkraftwerk</t>
  </si>
  <si>
    <t>Pellet/Holz</t>
  </si>
  <si>
    <t>fp Berechnung</t>
  </si>
  <si>
    <t>Emission</t>
  </si>
  <si>
    <t>Emissionsgutschrift</t>
  </si>
  <si>
    <t>CO2eq Berechnung</t>
  </si>
  <si>
    <t>CO2eq Emission:</t>
  </si>
  <si>
    <t>projektspezifischer EmFA:</t>
  </si>
  <si>
    <t>projektspezifischer Emissionsfaktor:</t>
  </si>
  <si>
    <t>projektspezifischer Emission:</t>
  </si>
  <si>
    <t>Hinweis zum auftreten von negativen Werten:</t>
  </si>
  <si>
    <t>Negative Emissionen/Emissionsfaktor können durch die Stromerzeugung der BHKW und die</t>
  </si>
  <si>
    <t>Stromgutschriftmethode (d.h. Anrechnung von Einsparungen in schlechteren Kraftwerken) auftreten.</t>
  </si>
  <si>
    <t>Folgende technischen Daten der BHKW (Herstellerangaben) werden in den Berechnungen verwendet:</t>
  </si>
  <si>
    <t>eta th (%)</t>
  </si>
  <si>
    <t>eta el (%)</t>
  </si>
  <si>
    <t>Wärme-</t>
  </si>
  <si>
    <t>Wärmezufuhr</t>
  </si>
  <si>
    <t>EE-Anteil Wärme</t>
  </si>
  <si>
    <t>Heizzentrale</t>
  </si>
  <si>
    <t>Stromverbrauch</t>
  </si>
  <si>
    <t xml:space="preserve">  Hinweis:</t>
  </si>
  <si>
    <t xml:space="preserve"> Berechnungsformel (1) nach FW 309-Teil 1:</t>
  </si>
  <si>
    <t>EV Betrieb n. Z.</t>
  </si>
  <si>
    <t>EV Betrieb v. Z.</t>
  </si>
  <si>
    <t>verbrauch v. Z.</t>
  </si>
  <si>
    <r>
      <t xml:space="preserve">  Stromverbrauch der Heizzentrale incl. Netzpumpen Fern-/Nahwärme (ohne Eigenverbrauch BHKW </t>
    </r>
    <r>
      <rPr>
        <i/>
        <u/>
        <sz val="11"/>
        <color theme="1"/>
        <rFont val="Calibri (Textkörper)"/>
      </rPr>
      <t>vor</t>
    </r>
    <r>
      <rPr>
        <i/>
        <sz val="11"/>
        <color theme="1"/>
        <rFont val="Calibri"/>
        <family val="2"/>
        <scheme val="minor"/>
      </rPr>
      <t xml:space="preserve"> BHKW Erzeugungszähler).</t>
    </r>
  </si>
  <si>
    <t xml:space="preserve"> (davon BHKW-Eigenverbrauch nach Erzeugungszähler:</t>
  </si>
  <si>
    <t>BHKW</t>
  </si>
  <si>
    <t>Summe BHKW:</t>
  </si>
  <si>
    <t>verbrauch n. Z.</t>
  </si>
  <si>
    <t>Stromverbrauch Heizzentrale</t>
  </si>
  <si>
    <t>Eigenverbrauch</t>
  </si>
  <si>
    <t>Betrieb v. Z.</t>
  </si>
  <si>
    <t>Betrieb n. Z.</t>
  </si>
  <si>
    <t>Standby</t>
  </si>
  <si>
    <t>NN</t>
  </si>
  <si>
    <t>Erdgas/ 10 % Biomethan</t>
  </si>
  <si>
    <t>Erdgas/ 15 % Biomethan</t>
  </si>
  <si>
    <t>Erdgas/ 20 % Biomethan</t>
  </si>
  <si>
    <t>Erdgas/ 25 % Biomethan</t>
  </si>
  <si>
    <t>Erdgas/ 30 % Biomethan</t>
  </si>
  <si>
    <t>% erneuerbar</t>
  </si>
  <si>
    <t>Flüssigas/ 10 % biogen</t>
  </si>
  <si>
    <t>Flüssigas/ 20 % biogen</t>
  </si>
  <si>
    <t>Flüssigas/ 15 % biogen</t>
  </si>
  <si>
    <t>Flüssigas/ 25 % biogen</t>
  </si>
  <si>
    <t>Flüssigas/ 30 % biogen</t>
  </si>
  <si>
    <t>Mit dem Excel-Tool wird der Primärenergiefaktor nach FW 309 Teil 1, Mai 2021 für Projekte mit Fern-/Nahwärme berechnet.</t>
  </si>
  <si>
    <t>Für die Berechnungen sind Eingaben oder eine Auswahl in den Felder mit roter Schrift wie folgt zu tätigen:</t>
  </si>
  <si>
    <t>a.) Die Wärmemengen sind der Planung zu entnehmen. Im Detail kann dies mit dem XRGI-Kalkulator ermittelt werden, den EC POWER Kunden kostfrei erhalten.</t>
  </si>
  <si>
    <t>b.) Für die XRGI BHKW, Brennstoffe, Nutzungsgrade, Leistungszahl und % Anteil Gebäude PV gibt es Auswahlfenster.</t>
  </si>
  <si>
    <t>Im Excel-Tool sind die Kennzahlen der XRGI BHKW sowie die Primärenergiefaktoren bzw. Emissionsfaktoren des Gebäudeenergiegesetzes (GEG) hinterlegt.</t>
  </si>
  <si>
    <t>Stand 1.0 (1.10.2021)</t>
  </si>
  <si>
    <t>Hinweis zur Kappung des Rechenwert auf fp=0,3 oder fp=0,2 nach GEG § 22 (3):</t>
  </si>
  <si>
    <t>Rechenwert für fp nach Formel:</t>
  </si>
  <si>
    <t>Kappung:</t>
  </si>
  <si>
    <t>fp Absenkung durch EE unterhalb 0,3:</t>
  </si>
  <si>
    <t>v.Z. = vor BHKW Erzeugungszähler</t>
  </si>
  <si>
    <t>n.Z. = nach BHKW Erzeugungszähler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</si>
</sst>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\ &quot;kWh/a&quot;"/>
    <numFmt numFmtId="165" formatCode="&quot;fP = &quot;0.00"/>
    <numFmt numFmtId="166" formatCode="#,##0.0\ &quot;kWel&quot;"/>
    <numFmt numFmtId="167" formatCode="0.0"/>
    <numFmt numFmtId="168" formatCode="#,##0.0\ &quot;h/a&quot;"/>
    <numFmt numFmtId="169" formatCode="0.0\ %"/>
    <numFmt numFmtId="170" formatCode="#,##0.000\ &quot;kWhe&quot;"/>
    <numFmt numFmtId="171" formatCode="#,##0\ &quot;kg/a&quot;"/>
    <numFmt numFmtId="172" formatCode="#,##0.00\ &quot;t CO2eq/a&quot;"/>
    <numFmt numFmtId="173" formatCode="#,##0\ &quot;g/kWhth&quot;"/>
    <numFmt numFmtId="174" formatCode="0.00%\ &quot; an Wärmeerzeugung&quot;"/>
    <numFmt numFmtId="175" formatCode="0\ %"/>
    <numFmt numFmtId="176" formatCode="#,##0\ &quot;kWhel/a&quot;"/>
    <numFmt numFmtId="177" formatCode="#,##0\ &quot;kWhel/a)    &quot;"/>
  </numFmts>
  <fonts count="2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(Textkörper)_x0000_"/>
    </font>
    <font>
      <b/>
      <sz val="16"/>
      <color theme="1"/>
      <name val="Calibri (Textkörper)_x0000_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"/>
      <name val="MyriadPro-Regular"/>
    </font>
    <font>
      <sz val="12"/>
      <color theme="1"/>
      <name val="MyriadPro-Regula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 (Textkörper)"/>
    </font>
    <font>
      <sz val="1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1"/>
      <color theme="1"/>
      <name val="Calibri (Textkörper)"/>
    </font>
    <font>
      <b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7" xfId="0" applyFont="1" applyBorder="1" applyProtection="1"/>
    <xf numFmtId="0" fontId="5" fillId="0" borderId="0" xfId="0" applyFont="1" applyProtection="1"/>
    <xf numFmtId="0" fontId="0" fillId="0" borderId="1" xfId="0" applyBorder="1" applyProtection="1"/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8" xfId="0" applyFill="1" applyBorder="1" applyProtection="1"/>
    <xf numFmtId="164" fontId="0" fillId="0" borderId="1" xfId="0" applyNumberForma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6" fillId="0" borderId="5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2" xfId="0" applyFont="1" applyFill="1" applyBorder="1" applyProtection="1"/>
    <xf numFmtId="167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5" fillId="0" borderId="1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2" fontId="0" fillId="0" borderId="5" xfId="0" applyNumberFormat="1" applyBorder="1" applyAlignment="1" applyProtection="1">
      <alignment horizontal="center"/>
    </xf>
    <xf numFmtId="0" fontId="6" fillId="0" borderId="7" xfId="0" applyFont="1" applyBorder="1" applyProtection="1"/>
    <xf numFmtId="0" fontId="0" fillId="0" borderId="5" xfId="0" applyBorder="1" applyAlignment="1" applyProtection="1">
      <alignment horizontal="right"/>
    </xf>
    <xf numFmtId="0" fontId="6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5" fillId="0" borderId="8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0" fontId="12" fillId="2" borderId="7" xfId="0" applyFont="1" applyFill="1" applyBorder="1" applyProtection="1"/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12" fillId="2" borderId="0" xfId="0" applyFont="1" applyFill="1" applyBorder="1" applyProtection="1"/>
    <xf numFmtId="165" fontId="13" fillId="2" borderId="0" xfId="0" applyNumberFormat="1" applyFont="1" applyFill="1" applyBorder="1" applyAlignment="1" applyProtection="1"/>
    <xf numFmtId="0" fontId="12" fillId="2" borderId="2" xfId="0" applyFont="1" applyFill="1" applyBorder="1" applyProtection="1"/>
    <xf numFmtId="0" fontId="0" fillId="2" borderId="9" xfId="0" applyFill="1" applyBorder="1" applyAlignment="1" applyProtection="1">
      <alignment horizontal="right"/>
    </xf>
    <xf numFmtId="164" fontId="0" fillId="0" borderId="0" xfId="0" applyNumberFormat="1" applyBorder="1" applyProtection="1"/>
    <xf numFmtId="170" fontId="0" fillId="0" borderId="0" xfId="0" applyNumberFormat="1" applyAlignment="1" applyProtection="1">
      <alignment horizontal="center"/>
    </xf>
    <xf numFmtId="170" fontId="0" fillId="0" borderId="0" xfId="0" applyNumberFormat="1" applyAlignment="1" applyProtection="1"/>
    <xf numFmtId="0" fontId="15" fillId="0" borderId="0" xfId="0" applyFont="1" applyFill="1" applyBorder="1" applyAlignment="1" applyProtection="1">
      <alignment horizontal="left"/>
    </xf>
    <xf numFmtId="2" fontId="9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171" fontId="0" fillId="0" borderId="2" xfId="0" applyNumberForma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7" xfId="0" applyBorder="1" applyProtection="1"/>
    <xf numFmtId="0" fontId="0" fillId="0" borderId="15" xfId="0" applyFill="1" applyBorder="1" applyProtection="1"/>
    <xf numFmtId="0" fontId="0" fillId="0" borderId="17" xfId="0" applyFill="1" applyBorder="1" applyProtection="1"/>
    <xf numFmtId="0" fontId="0" fillId="0" borderId="16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12" xfId="0" applyBorder="1" applyProtection="1"/>
    <xf numFmtId="0" fontId="0" fillId="0" borderId="13" xfId="0" applyBorder="1" applyProtection="1"/>
    <xf numFmtId="171" fontId="0" fillId="0" borderId="16" xfId="0" applyNumberFormat="1" applyBorder="1" applyProtection="1"/>
    <xf numFmtId="171" fontId="0" fillId="0" borderId="19" xfId="0" applyNumberFormat="1" applyBorder="1" applyProtection="1"/>
    <xf numFmtId="0" fontId="0" fillId="0" borderId="20" xfId="0" applyBorder="1" applyProtection="1"/>
    <xf numFmtId="172" fontId="0" fillId="2" borderId="10" xfId="0" applyNumberFormat="1" applyFill="1" applyBorder="1" applyProtection="1"/>
    <xf numFmtId="173" fontId="0" fillId="2" borderId="10" xfId="0" applyNumberFormat="1" applyFill="1" applyBorder="1" applyProtection="1"/>
    <xf numFmtId="0" fontId="2" fillId="0" borderId="11" xfId="0" applyFont="1" applyBorder="1" applyProtection="1"/>
    <xf numFmtId="173" fontId="16" fillId="2" borderId="0" xfId="0" applyNumberFormat="1" applyFont="1" applyFill="1" applyBorder="1" applyAlignment="1" applyProtection="1"/>
    <xf numFmtId="0" fontId="5" fillId="0" borderId="2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3" xfId="0" applyFont="1" applyBorder="1" applyProtection="1"/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7" fontId="0" fillId="0" borderId="0" xfId="0" applyNumberFormat="1" applyFont="1" applyBorder="1" applyAlignment="1" applyProtection="1">
      <alignment horizontal="right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166" fontId="8" fillId="0" borderId="0" xfId="0" applyNumberFormat="1" applyFont="1" applyAlignment="1" applyProtection="1">
      <alignment horizontal="center"/>
    </xf>
    <xf numFmtId="167" fontId="8" fillId="0" borderId="0" xfId="0" applyNumberFormat="1" applyFont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right"/>
    </xf>
    <xf numFmtId="168" fontId="0" fillId="0" borderId="1" xfId="0" applyNumberFormat="1" applyFont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0" fontId="8" fillId="0" borderId="6" xfId="0" applyFont="1" applyBorder="1" applyProtection="1"/>
    <xf numFmtId="169" fontId="5" fillId="0" borderId="0" xfId="0" applyNumberFormat="1" applyFont="1" applyBorder="1" applyProtection="1"/>
    <xf numFmtId="169" fontId="5" fillId="0" borderId="1" xfId="0" applyNumberFormat="1" applyFont="1" applyBorder="1" applyProtection="1"/>
    <xf numFmtId="171" fontId="0" fillId="0" borderId="0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/>
    </xf>
    <xf numFmtId="171" fontId="0" fillId="0" borderId="1" xfId="0" applyNumberFormat="1" applyFont="1" applyBorder="1" applyAlignment="1" applyProtection="1">
      <alignment horizontal="right"/>
    </xf>
    <xf numFmtId="49" fontId="8" fillId="0" borderId="6" xfId="0" applyNumberFormat="1" applyFont="1" applyBorder="1" applyAlignment="1" applyProtection="1">
      <alignment horizontal="center"/>
    </xf>
    <xf numFmtId="167" fontId="8" fillId="0" borderId="2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174" fontId="18" fillId="0" borderId="0" xfId="0" applyNumberFormat="1" applyFont="1" applyBorder="1" applyProtection="1"/>
    <xf numFmtId="175" fontId="9" fillId="0" borderId="0" xfId="0" applyNumberFormat="1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center"/>
    </xf>
    <xf numFmtId="0" fontId="0" fillId="0" borderId="22" xfId="0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Protection="1"/>
    <xf numFmtId="0" fontId="2" fillId="0" borderId="25" xfId="0" applyFont="1" applyBorder="1" applyAlignment="1" applyProtection="1">
      <alignment horizontal="right"/>
    </xf>
    <xf numFmtId="0" fontId="0" fillId="0" borderId="26" xfId="0" applyBorder="1" applyProtection="1"/>
    <xf numFmtId="0" fontId="10" fillId="0" borderId="27" xfId="0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right"/>
    </xf>
    <xf numFmtId="0" fontId="0" fillId="0" borderId="28" xfId="0" applyBorder="1" applyProtection="1"/>
    <xf numFmtId="0" fontId="2" fillId="0" borderId="29" xfId="0" applyFont="1" applyBorder="1" applyAlignment="1" applyProtection="1">
      <alignment horizontal="right"/>
    </xf>
    <xf numFmtId="0" fontId="0" fillId="0" borderId="26" xfId="0" applyFill="1" applyBorder="1" applyProtection="1"/>
    <xf numFmtId="0" fontId="0" fillId="0" borderId="28" xfId="0" applyFill="1" applyBorder="1" applyProtection="1"/>
    <xf numFmtId="2" fontId="0" fillId="2" borderId="30" xfId="0" applyNumberFormat="1" applyFill="1" applyBorder="1" applyProtection="1"/>
    <xf numFmtId="2" fontId="0" fillId="0" borderId="27" xfId="0" applyNumberFormat="1" applyBorder="1" applyProtection="1"/>
    <xf numFmtId="0" fontId="0" fillId="0" borderId="27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2" borderId="33" xfId="0" applyFill="1" applyBorder="1" applyAlignment="1" applyProtection="1">
      <alignment horizontal="right"/>
    </xf>
    <xf numFmtId="2" fontId="0" fillId="2" borderId="34" xfId="0" applyNumberFormat="1" applyFill="1" applyBorder="1" applyProtection="1"/>
    <xf numFmtId="0" fontId="6" fillId="0" borderId="0" xfId="0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9" fillId="0" borderId="7" xfId="0" applyFont="1" applyFill="1" applyBorder="1" applyProtection="1"/>
    <xf numFmtId="176" fontId="1" fillId="0" borderId="0" xfId="0" applyNumberFormat="1" applyFont="1" applyBorder="1" applyProtection="1">
      <protection locked="0"/>
    </xf>
    <xf numFmtId="2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Border="1" applyAlignment="1" applyProtection="1">
      <alignment horizontal="right"/>
    </xf>
    <xf numFmtId="0" fontId="0" fillId="0" borderId="4" xfId="0" applyFill="1" applyBorder="1" applyProtection="1"/>
    <xf numFmtId="164" fontId="0" fillId="0" borderId="5" xfId="0" applyNumberFormat="1" applyFont="1" applyBorder="1" applyAlignment="1" applyProtection="1">
      <alignment horizontal="right"/>
    </xf>
    <xf numFmtId="2" fontId="0" fillId="0" borderId="5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176" fontId="0" fillId="0" borderId="1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</xf>
    <xf numFmtId="0" fontId="17" fillId="0" borderId="0" xfId="0" applyFont="1" applyBorder="1" applyProtection="1"/>
    <xf numFmtId="172" fontId="14" fillId="2" borderId="0" xfId="0" applyNumberFormat="1" applyFont="1" applyFill="1" applyBorder="1" applyAlignment="1" applyProtection="1"/>
    <xf numFmtId="0" fontId="2" fillId="0" borderId="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0" fontId="20" fillId="0" borderId="2" xfId="0" applyFont="1" applyBorder="1" applyProtection="1"/>
    <xf numFmtId="164" fontId="20" fillId="0" borderId="0" xfId="0" applyNumberFormat="1" applyFont="1" applyBorder="1" applyProtection="1"/>
    <xf numFmtId="177" fontId="17" fillId="0" borderId="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170" fontId="0" fillId="0" borderId="0" xfId="0" applyNumberFormat="1" applyAlignment="1" applyProtection="1">
      <alignment horizontal="right"/>
    </xf>
    <xf numFmtId="0" fontId="0" fillId="0" borderId="0" xfId="0" applyAlignment="1">
      <alignment horizontal="right"/>
    </xf>
    <xf numFmtId="175" fontId="0" fillId="0" borderId="0" xfId="0" applyNumberFormat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167" fontId="9" fillId="0" borderId="0" xfId="0" applyNumberFormat="1" applyFont="1" applyBorder="1" applyAlignment="1" applyProtection="1">
      <alignment horizontal="left"/>
    </xf>
    <xf numFmtId="0" fontId="8" fillId="0" borderId="0" xfId="0" applyFont="1" applyFill="1" applyBorder="1" applyProtection="1"/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119380</xdr:colOff>
      <xdr:row>53</xdr:row>
      <xdr:rowOff>132080</xdr:rowOff>
    </xdr:from>
    <xdr:to>
      <xdr:col>5</xdr:col>
      <xdr:colOff>1332134</xdr:colOff>
      <xdr:row>68</xdr:row>
      <xdr:rowOff>144780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C5403D-AC6D-DE46-AD32-B71450843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9780" y="6085840"/>
          <a:ext cx="5162454" cy="306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11F5-F9B5-C742-B89C-86C8419DFE43}">
  <sheetPr>
    <pageSetUpPr fitToPage="1"/>
  </sheetPr>
  <dimension ref="A2:AM90"/>
  <sheetViews>
    <sheetView showGridLines="0" tabSelected="1" zoomScaleNormal="100" workbookViewId="0">
      <selection activeCell="H19" sqref="H19"/>
    </sheetView>
  </sheetViews>
  <sheetFormatPr baseColWidth="10" defaultRowHeight="16"/>
  <cols>
    <col min="1" max="1" width="10.83203125" style="1"/>
    <col min="2" max="2" width="14.5" style="1" customWidth="1"/>
    <col min="3" max="3" width="15.83203125" style="1" customWidth="1"/>
    <col min="4" max="4" width="17.5" style="1" customWidth="1"/>
    <col min="5" max="5" width="18.33203125" style="1" customWidth="1"/>
    <col min="6" max="6" width="21.6640625" style="1" customWidth="1"/>
    <col min="7" max="7" width="18" style="1" customWidth="1"/>
    <col min="8" max="8" width="19.6640625" style="1" customWidth="1"/>
    <col min="9" max="38" width="23.83203125" style="1" hidden="1" customWidth="1"/>
    <col min="39" max="42" width="0" style="1" hidden="1" customWidth="1"/>
    <col min="43" max="16384" width="10.83203125" style="1"/>
  </cols>
  <sheetData>
    <row r="2" spans="2:38">
      <c r="B2" s="164" t="s">
        <v>90</v>
      </c>
      <c r="C2" s="165"/>
      <c r="D2" s="165"/>
      <c r="E2" s="165"/>
      <c r="F2" s="165"/>
      <c r="G2" s="166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2:38">
      <c r="B3" s="167"/>
      <c r="C3" s="168"/>
      <c r="D3" s="168"/>
      <c r="E3" s="168"/>
      <c r="F3" s="168"/>
      <c r="G3" s="169"/>
      <c r="H3" s="54"/>
      <c r="I3" s="110" t="s">
        <v>126</v>
      </c>
      <c r="J3" s="111"/>
      <c r="K3" s="112"/>
      <c r="L3" s="111"/>
      <c r="M3" s="111"/>
      <c r="N3" s="111"/>
      <c r="O3" s="111"/>
      <c r="P3" s="111"/>
      <c r="Q3" s="111"/>
      <c r="R3" s="111"/>
      <c r="S3" s="113"/>
      <c r="T3" s="54"/>
      <c r="U3" s="54"/>
      <c r="V3" s="54"/>
      <c r="W3" s="54"/>
      <c r="Y3" s="78" t="s">
        <v>109</v>
      </c>
      <c r="Z3" s="79"/>
      <c r="AA3" s="79"/>
      <c r="AB3" s="79"/>
    </row>
    <row r="4" spans="2:38">
      <c r="B4" s="167"/>
      <c r="C4" s="168"/>
      <c r="D4" s="168"/>
      <c r="E4" s="168"/>
      <c r="F4" s="168"/>
      <c r="G4" s="169"/>
      <c r="H4" s="54"/>
      <c r="I4" s="114"/>
      <c r="J4" s="30" t="s">
        <v>25</v>
      </c>
      <c r="K4" s="30" t="s">
        <v>140</v>
      </c>
      <c r="L4" s="30" t="s">
        <v>114</v>
      </c>
      <c r="M4" s="30" t="s">
        <v>21</v>
      </c>
      <c r="N4" s="30" t="s">
        <v>91</v>
      </c>
      <c r="O4" s="30" t="s">
        <v>93</v>
      </c>
      <c r="P4" s="30" t="s">
        <v>21</v>
      </c>
      <c r="Q4" s="30" t="s">
        <v>101</v>
      </c>
      <c r="R4" s="17"/>
      <c r="S4" s="115"/>
      <c r="T4" s="54"/>
      <c r="U4" s="54"/>
      <c r="V4" s="54"/>
      <c r="W4" s="54"/>
      <c r="Y4" s="79" t="s">
        <v>36</v>
      </c>
      <c r="Z4" s="80">
        <v>2</v>
      </c>
      <c r="AA4" s="80">
        <v>3</v>
      </c>
      <c r="AB4" s="80">
        <v>4</v>
      </c>
      <c r="AC4" s="80">
        <v>5</v>
      </c>
      <c r="AD4" s="80">
        <v>6</v>
      </c>
      <c r="AE4" s="80">
        <v>7</v>
      </c>
    </row>
    <row r="5" spans="2:38">
      <c r="B5" s="167"/>
      <c r="C5" s="168"/>
      <c r="D5" s="168"/>
      <c r="E5" s="168"/>
      <c r="F5" s="168"/>
      <c r="G5" s="169"/>
      <c r="H5" s="54"/>
      <c r="I5" s="116"/>
      <c r="J5" s="26" t="s">
        <v>26</v>
      </c>
      <c r="K5" s="26" t="s">
        <v>22</v>
      </c>
      <c r="L5" s="26" t="s">
        <v>141</v>
      </c>
      <c r="M5" s="26" t="s">
        <v>22</v>
      </c>
      <c r="N5" s="26" t="s">
        <v>92</v>
      </c>
      <c r="O5" s="26" t="s">
        <v>149</v>
      </c>
      <c r="P5" s="26" t="s">
        <v>24</v>
      </c>
      <c r="Q5" s="26" t="s">
        <v>12</v>
      </c>
      <c r="S5" s="117" t="s">
        <v>102</v>
      </c>
      <c r="T5" s="54"/>
      <c r="U5" s="54"/>
      <c r="V5" s="54"/>
      <c r="W5" s="54"/>
      <c r="Y5" s="81" t="s">
        <v>54</v>
      </c>
      <c r="Z5" s="82" t="s">
        <v>27</v>
      </c>
      <c r="AA5" s="82" t="s">
        <v>37</v>
      </c>
      <c r="AB5" s="82" t="s">
        <v>38</v>
      </c>
      <c r="AC5" s="82" t="s">
        <v>148</v>
      </c>
      <c r="AD5" s="82" t="s">
        <v>147</v>
      </c>
      <c r="AE5" s="82" t="s">
        <v>39</v>
      </c>
    </row>
    <row r="6" spans="2:38">
      <c r="B6" s="2"/>
      <c r="C6" s="3"/>
      <c r="D6" s="3"/>
      <c r="E6" s="3"/>
      <c r="F6" s="3"/>
      <c r="G6" s="4"/>
      <c r="H6" s="3"/>
      <c r="I6" s="116" t="s">
        <v>13</v>
      </c>
      <c r="J6" s="83">
        <f>IF(D17=0,0,D17/(VLOOKUP(E17,Tabelle_1,3,FALSE)/100))</f>
        <v>347003.15457413247</v>
      </c>
      <c r="K6" s="83">
        <f>D17</f>
        <v>220000</v>
      </c>
      <c r="L6" s="83">
        <f>IF(VLOOKUP(F17,Tabelle_2,4,FALSE)="EE",K6*VLOOKUP(F17,Tabelle_2,5,FALSE),0)</f>
        <v>0</v>
      </c>
      <c r="M6" s="83">
        <f>J6*(VLOOKUP(E17,Tabelle_1,4,FALSE)/100)</f>
        <v>113470.03154574132</v>
      </c>
      <c r="N6" s="84">
        <f>M6/(VLOOKUP(E17,Tabelle_1,2,FALSE))</f>
        <v>5673.5015772870665</v>
      </c>
      <c r="O6" s="83">
        <f>N6*(VLOOKUP(E17,Tabelle_1,5,FALSE))</f>
        <v>0</v>
      </c>
      <c r="P6" s="83">
        <f>IF(M6=0,0,M6-O6)</f>
        <v>113470.03154574132</v>
      </c>
      <c r="Q6" s="85">
        <f>VLOOKUP(F17,Tabelle_2,2,FALSE)</f>
        <v>1.1000000000000001</v>
      </c>
      <c r="S6" s="118">
        <f>IF(D17=0,0,(J6*Q6)-(P6*Verdrängungsstrommix_für_KWK))</f>
        <v>63987.381703470019</v>
      </c>
      <c r="T6" s="3"/>
      <c r="U6" s="3"/>
      <c r="V6" s="3"/>
      <c r="W6" s="3"/>
      <c r="Y6" s="86" t="s">
        <v>74</v>
      </c>
      <c r="Z6" s="87"/>
      <c r="AA6" s="87"/>
      <c r="AB6" s="87"/>
      <c r="AC6" s="87"/>
      <c r="AD6" s="87"/>
      <c r="AE6" s="88"/>
    </row>
    <row r="7" spans="2:38">
      <c r="B7" s="7" t="s">
        <v>5</v>
      </c>
      <c r="C7" s="3"/>
      <c r="D7" s="10" t="s">
        <v>160</v>
      </c>
      <c r="E7" s="3"/>
      <c r="F7" s="3"/>
      <c r="G7" s="4"/>
      <c r="H7" s="3"/>
      <c r="I7" s="116" t="s">
        <v>14</v>
      </c>
      <c r="J7" s="83">
        <f>IF(D18=0,0,D18/(VLOOKUP(E18,Tabelle_1,3,FALSE)/100))</f>
        <v>0</v>
      </c>
      <c r="K7" s="83">
        <f t="shared" ref="K7:K9" si="0">D18</f>
        <v>0</v>
      </c>
      <c r="L7" s="83">
        <f>IF(VLOOKUP(F18,Tabelle_2,4,FALSE)="EE",K7*VLOOKUP(F18,Tabelle_2,5,FALSE),0)</f>
        <v>0</v>
      </c>
      <c r="M7" s="83">
        <f>J7*(VLOOKUP(E18,Tabelle_1,4,FALSE)/100)</f>
        <v>0</v>
      </c>
      <c r="N7" s="84" t="e">
        <f>M7/(VLOOKUP(E18,Tabelle_1,2,FALSE))</f>
        <v>#DIV/0!</v>
      </c>
      <c r="O7" s="83" t="e">
        <f>N7*(VLOOKUP(E18,Tabelle_1,5,FALSE))</f>
        <v>#DIV/0!</v>
      </c>
      <c r="P7" s="83">
        <f>IF(M7=0,0,M7-O7)</f>
        <v>0</v>
      </c>
      <c r="Q7" s="85">
        <f>VLOOKUP(F18,Tabelle_2,2,FALSE)</f>
        <v>0</v>
      </c>
      <c r="S7" s="118">
        <f>IF(D18=0,0,(J7*Q7)-(P7*Verdrängungsstrommix_für_KWK))</f>
        <v>0</v>
      </c>
      <c r="T7" s="3"/>
      <c r="U7" s="3"/>
      <c r="V7" s="3"/>
      <c r="W7" s="3"/>
      <c r="Y7" s="86" t="s">
        <v>28</v>
      </c>
      <c r="Z7" s="89">
        <v>6</v>
      </c>
      <c r="AA7" s="90">
        <v>62.3</v>
      </c>
      <c r="AB7" s="90">
        <v>30.1</v>
      </c>
      <c r="AC7" s="50">
        <v>0</v>
      </c>
      <c r="AD7" s="50">
        <v>3.5000000000000003E-2</v>
      </c>
      <c r="AE7" s="51">
        <v>2.4E-2</v>
      </c>
    </row>
    <row r="8" spans="2:38">
      <c r="B8" s="7" t="s">
        <v>6</v>
      </c>
      <c r="C8" s="3"/>
      <c r="D8" s="10" t="s">
        <v>160</v>
      </c>
      <c r="E8" s="3"/>
      <c r="F8" s="3"/>
      <c r="G8" s="4"/>
      <c r="H8" s="3"/>
      <c r="I8" s="116" t="s">
        <v>15</v>
      </c>
      <c r="J8" s="83">
        <f>IF(D19=0,0,D19/(VLOOKUP(E19,Tabelle_1,3,FALSE)/100))</f>
        <v>0</v>
      </c>
      <c r="K8" s="83">
        <f t="shared" si="0"/>
        <v>0</v>
      </c>
      <c r="L8" s="83">
        <f>IF(VLOOKUP(F19,Tabelle_2,4,FALSE)="EE",K8*VLOOKUP(F19,Tabelle_2,5,FALSE),0)</f>
        <v>0</v>
      </c>
      <c r="M8" s="83">
        <f>J8*(VLOOKUP(E19,Tabelle_1,4,FALSE)/100)</f>
        <v>0</v>
      </c>
      <c r="N8" s="84" t="e">
        <f>M8/(VLOOKUP(E19,Tabelle_1,2,FALSE))</f>
        <v>#DIV/0!</v>
      </c>
      <c r="O8" s="83" t="e">
        <f>N8*(VLOOKUP(E19,Tabelle_1,5,FALSE))</f>
        <v>#DIV/0!</v>
      </c>
      <c r="P8" s="83">
        <f>IF(M8=0,0,M8-O8)</f>
        <v>0</v>
      </c>
      <c r="Q8" s="85">
        <f>VLOOKUP(F19,Tabelle_2,2,FALSE)</f>
        <v>0</v>
      </c>
      <c r="S8" s="118">
        <f>IF(D19=0,0,(J8*Q8)-(P8*Verdrängungsstrommix_für_KWK))</f>
        <v>0</v>
      </c>
      <c r="T8" s="3"/>
      <c r="U8" s="3"/>
      <c r="V8" s="3"/>
      <c r="W8" s="3"/>
      <c r="Y8" s="152" t="s">
        <v>32</v>
      </c>
      <c r="Z8" s="89">
        <v>6</v>
      </c>
      <c r="AA8" s="90">
        <v>72.3</v>
      </c>
      <c r="AB8" s="23">
        <v>30.1</v>
      </c>
      <c r="AC8" s="50">
        <v>0</v>
      </c>
      <c r="AD8" s="50">
        <v>3.5000000000000003E-2</v>
      </c>
      <c r="AE8" s="51">
        <v>2.4E-2</v>
      </c>
    </row>
    <row r="9" spans="2:38">
      <c r="B9" s="2" t="s">
        <v>106</v>
      </c>
      <c r="C9" s="3"/>
      <c r="D9" s="11">
        <f>240000</f>
        <v>240000</v>
      </c>
      <c r="E9" s="108">
        <f>D9/D11</f>
        <v>0.92307692307692313</v>
      </c>
      <c r="F9" s="3"/>
      <c r="G9" s="4"/>
      <c r="H9" s="3"/>
      <c r="I9" s="119" t="s">
        <v>16</v>
      </c>
      <c r="J9" s="83">
        <f>IF(D20=0,0,D20/(VLOOKUP(E20,Tabelle_1,3,FALSE)/100))</f>
        <v>0</v>
      </c>
      <c r="K9" s="83">
        <f t="shared" si="0"/>
        <v>0</v>
      </c>
      <c r="L9" s="83">
        <f>IF(VLOOKUP(F20,Tabelle_2,4,FALSE)="EE",K9*VLOOKUP(F20,Tabelle_2,5,FALSE),0)</f>
        <v>0</v>
      </c>
      <c r="M9" s="91">
        <f>J9*(VLOOKUP(E20,Tabelle_1,4,FALSE)/100)</f>
        <v>0</v>
      </c>
      <c r="N9" s="92" t="e">
        <f>M9/(VLOOKUP(E20,Tabelle_1,2,FALSE))</f>
        <v>#DIV/0!</v>
      </c>
      <c r="O9" s="91" t="e">
        <f>N9*(VLOOKUP(E20,Tabelle_1,5,FALSE))</f>
        <v>#DIV/0!</v>
      </c>
      <c r="P9" s="83">
        <f>IF(M9=0,0,M9-O9)</f>
        <v>0</v>
      </c>
      <c r="Q9" s="93">
        <f>VLOOKUP(F20,Tabelle_2,2,FALSE)</f>
        <v>0</v>
      </c>
      <c r="S9" s="120">
        <f>IF(D20=0,0,(J9*Q9)-(P9*Verdrängungsstrommix_für_KWK))</f>
        <v>0</v>
      </c>
      <c r="T9" s="3"/>
      <c r="U9" s="3"/>
      <c r="V9" s="3"/>
      <c r="W9" s="3"/>
      <c r="Y9" s="86" t="s">
        <v>29</v>
      </c>
      <c r="Z9" s="89">
        <v>9</v>
      </c>
      <c r="AA9" s="90">
        <v>65.599999999999994</v>
      </c>
      <c r="AB9" s="23">
        <v>29.3</v>
      </c>
      <c r="AC9" s="50">
        <v>0</v>
      </c>
      <c r="AD9" s="50">
        <v>0.1</v>
      </c>
      <c r="AE9" s="51">
        <v>0.1</v>
      </c>
    </row>
    <row r="10" spans="2:38">
      <c r="B10" s="13" t="s">
        <v>9</v>
      </c>
      <c r="C10" s="3"/>
      <c r="D10" s="11">
        <v>20000</v>
      </c>
      <c r="E10" s="108">
        <f>D10/D11</f>
        <v>7.6923076923076927E-2</v>
      </c>
      <c r="F10" s="3"/>
      <c r="G10" s="4"/>
      <c r="H10" s="3"/>
      <c r="I10" s="114"/>
      <c r="J10" s="30" t="s">
        <v>25</v>
      </c>
      <c r="K10" s="30" t="s">
        <v>140</v>
      </c>
      <c r="L10" s="30" t="s">
        <v>114</v>
      </c>
      <c r="M10" s="30" t="s">
        <v>101</v>
      </c>
      <c r="N10" s="17"/>
      <c r="O10" s="30"/>
      <c r="P10" s="30"/>
      <c r="Q10" s="30"/>
      <c r="R10" s="30"/>
      <c r="S10" s="115"/>
      <c r="T10" s="3"/>
      <c r="U10" s="3"/>
      <c r="V10" s="3"/>
      <c r="W10" s="3"/>
      <c r="Y10" s="86" t="s">
        <v>33</v>
      </c>
      <c r="Z10" s="89">
        <v>9</v>
      </c>
      <c r="AA10" s="90">
        <v>76.5</v>
      </c>
      <c r="AB10" s="23">
        <v>29.4</v>
      </c>
      <c r="AC10" s="50">
        <v>0</v>
      </c>
      <c r="AD10" s="50">
        <v>3.9E-2</v>
      </c>
      <c r="AE10" s="51">
        <v>3.9E-2</v>
      </c>
    </row>
    <row r="11" spans="2:38">
      <c r="B11" s="14" t="s">
        <v>10</v>
      </c>
      <c r="C11" s="9"/>
      <c r="D11" s="15">
        <f>SUM(D9:D10)</f>
        <v>260000</v>
      </c>
      <c r="E11" s="9"/>
      <c r="F11" s="9"/>
      <c r="G11" s="6"/>
      <c r="H11" s="3"/>
      <c r="I11" s="116"/>
      <c r="J11" s="26" t="s">
        <v>26</v>
      </c>
      <c r="K11" s="26" t="s">
        <v>22</v>
      </c>
      <c r="L11" s="26" t="s">
        <v>141</v>
      </c>
      <c r="M11" s="26" t="s">
        <v>12</v>
      </c>
      <c r="N11" s="3"/>
      <c r="O11" s="32"/>
      <c r="P11" s="32"/>
      <c r="Q11" s="32"/>
      <c r="R11" s="32"/>
      <c r="S11" s="117" t="s">
        <v>102</v>
      </c>
      <c r="T11" s="3"/>
      <c r="U11" s="3"/>
      <c r="V11" s="3"/>
      <c r="W11" s="3"/>
      <c r="Y11" s="86" t="s">
        <v>30</v>
      </c>
      <c r="Z11" s="89">
        <v>14.5</v>
      </c>
      <c r="AA11" s="90">
        <v>62.3</v>
      </c>
      <c r="AB11" s="23">
        <v>29.5</v>
      </c>
      <c r="AC11" s="50">
        <v>0</v>
      </c>
      <c r="AD11" s="50">
        <v>5.8999999999999997E-2</v>
      </c>
      <c r="AE11" s="51">
        <v>5.8999999999999997E-2</v>
      </c>
    </row>
    <row r="12" spans="2:38">
      <c r="B12" s="13"/>
      <c r="C12" s="3"/>
      <c r="D12" s="143" t="s">
        <v>144</v>
      </c>
      <c r="E12" s="3"/>
      <c r="F12" s="3"/>
      <c r="G12" s="4"/>
      <c r="H12" s="3"/>
      <c r="I12" s="121" t="s">
        <v>120</v>
      </c>
      <c r="J12" s="83">
        <f>IF(D22=0,0,D22/VLOOKUP(E22,Tabelle_5,1,FALSE))</f>
        <v>44444.444444444445</v>
      </c>
      <c r="K12" s="49">
        <f>D22</f>
        <v>40000</v>
      </c>
      <c r="L12" s="83">
        <f>IF(VLOOKUP(F22,Tabelle_3,4,FALSE)="EE",K12*VLOOKUP(F22,Tabelle_3,5,FALSE),0)</f>
        <v>0</v>
      </c>
      <c r="M12" s="85">
        <f>VLOOKUP(F22,Tabelle_3,2,FALSE)</f>
        <v>1.1000000000000001</v>
      </c>
      <c r="N12" s="3"/>
      <c r="O12" s="32"/>
      <c r="P12" s="32"/>
      <c r="Q12" s="32"/>
      <c r="R12" s="32"/>
      <c r="S12" s="118">
        <f>IF(D22=0,0,J12*M12)</f>
        <v>48888.888888888891</v>
      </c>
      <c r="T12" s="3"/>
      <c r="U12" s="3"/>
      <c r="V12" s="3"/>
      <c r="W12" s="3"/>
      <c r="Y12" s="86" t="s">
        <v>34</v>
      </c>
      <c r="Z12" s="89">
        <v>14.5</v>
      </c>
      <c r="AA12" s="90">
        <v>73.900000000000006</v>
      </c>
      <c r="AB12" s="23">
        <v>29.3</v>
      </c>
      <c r="AC12" s="50">
        <v>0</v>
      </c>
      <c r="AD12" s="50">
        <v>3.4000000000000002E-2</v>
      </c>
      <c r="AE12" s="51">
        <v>3.4000000000000002E-2</v>
      </c>
    </row>
    <row r="13" spans="2:38">
      <c r="B13" s="13" t="s">
        <v>143</v>
      </c>
      <c r="C13" s="3"/>
      <c r="D13" s="134">
        <v>2000</v>
      </c>
      <c r="E13" s="144" t="s">
        <v>151</v>
      </c>
      <c r="F13" s="144"/>
      <c r="G13" s="151">
        <f>Q24</f>
        <v>519.69558359621453</v>
      </c>
      <c r="H13" s="3"/>
      <c r="I13" s="121" t="s">
        <v>121</v>
      </c>
      <c r="J13" s="83">
        <f>IF(D23=0,0,D23/VLOOKUP(E23,Tabelle_5,1,FALSE))</f>
        <v>0</v>
      </c>
      <c r="K13" s="49">
        <f t="shared" ref="K13:K14" si="1">D23</f>
        <v>0</v>
      </c>
      <c r="L13" s="83">
        <f>IF(VLOOKUP(F23,Tabelle_3,4,FALSE)="EE",K13*VLOOKUP(F23,Tabelle_3,5,FALSE),0)</f>
        <v>0</v>
      </c>
      <c r="M13" s="85">
        <f>VLOOKUP(F23,Tabelle_3,2,FALSE)</f>
        <v>0</v>
      </c>
      <c r="N13" s="3"/>
      <c r="O13" s="32"/>
      <c r="P13" s="32"/>
      <c r="Q13" s="32"/>
      <c r="R13" s="32"/>
      <c r="S13" s="118">
        <f>IF(D23=0,0,J13*M13)</f>
        <v>0</v>
      </c>
      <c r="T13" s="3"/>
      <c r="U13" s="3"/>
      <c r="V13" s="3"/>
      <c r="W13" s="3"/>
      <c r="Y13" s="86" t="s">
        <v>31</v>
      </c>
      <c r="Z13" s="89">
        <v>20</v>
      </c>
      <c r="AA13" s="90">
        <v>63.4</v>
      </c>
      <c r="AB13" s="23">
        <v>32.700000000000003</v>
      </c>
      <c r="AC13" s="50">
        <v>0</v>
      </c>
      <c r="AD13" s="50">
        <v>7.8E-2</v>
      </c>
      <c r="AE13" s="51">
        <v>2.5000000000000001E-2</v>
      </c>
    </row>
    <row r="14" spans="2:38">
      <c r="B14" s="133" t="s">
        <v>145</v>
      </c>
      <c r="C14" s="3"/>
      <c r="D14" s="150" t="str">
        <f>IF(D13&lt;G13," Stromverbrauch zu gering "," ")</f>
        <v xml:space="preserve"> </v>
      </c>
      <c r="E14" s="3"/>
      <c r="F14" s="3"/>
      <c r="G14" s="4"/>
      <c r="H14" s="3"/>
      <c r="I14" s="122" t="s">
        <v>122</v>
      </c>
      <c r="J14" s="91">
        <f>IF(D24=0,0,D24/VLOOKUP(E24,Tabelle_5,1,FALSE))</f>
        <v>0</v>
      </c>
      <c r="K14" s="49">
        <f t="shared" si="1"/>
        <v>0</v>
      </c>
      <c r="L14" s="83">
        <f>IF(VLOOKUP(F24,Tabelle_3,4,FALSE)="EE",K14*VLOOKUP(F24,Tabelle_3,5,FALSE),0)</f>
        <v>0</v>
      </c>
      <c r="M14" s="93">
        <f>VLOOKUP(F24,Tabelle_3,2,FALSE)</f>
        <v>0</v>
      </c>
      <c r="N14" s="9"/>
      <c r="O14" s="33"/>
      <c r="P14" s="33"/>
      <c r="Q14" s="33"/>
      <c r="R14" s="33"/>
      <c r="S14" s="120">
        <f>IF(D24=0,0,J14*M14)</f>
        <v>0</v>
      </c>
      <c r="T14" s="3"/>
      <c r="U14" s="3"/>
      <c r="V14" s="3"/>
      <c r="W14" s="3"/>
      <c r="Y14" s="86" t="s">
        <v>35</v>
      </c>
      <c r="Z14" s="89">
        <v>20</v>
      </c>
      <c r="AA14" s="90">
        <v>73.2</v>
      </c>
      <c r="AB14" s="23">
        <v>32.700000000000003</v>
      </c>
      <c r="AC14" s="50">
        <v>0</v>
      </c>
      <c r="AD14" s="50">
        <v>8.1000000000000003E-2</v>
      </c>
      <c r="AE14" s="51">
        <v>2.5000000000000001E-2</v>
      </c>
    </row>
    <row r="15" spans="2:38">
      <c r="B15" s="133" t="s">
        <v>150</v>
      </c>
      <c r="C15" s="3"/>
      <c r="D15" s="49"/>
      <c r="E15" s="3"/>
      <c r="F15" s="3"/>
      <c r="G15" s="4"/>
      <c r="H15" s="3"/>
      <c r="I15" s="114"/>
      <c r="J15" s="30" t="s">
        <v>25</v>
      </c>
      <c r="K15" s="30" t="s">
        <v>140</v>
      </c>
      <c r="L15" s="30" t="s">
        <v>114</v>
      </c>
      <c r="M15" s="30" t="s">
        <v>101</v>
      </c>
      <c r="N15" s="30" t="s">
        <v>56</v>
      </c>
      <c r="O15" s="34" t="s">
        <v>101</v>
      </c>
      <c r="P15" s="17"/>
      <c r="Q15" s="17"/>
      <c r="R15" s="17"/>
      <c r="S15" s="115"/>
      <c r="T15" s="3"/>
      <c r="U15" s="3"/>
      <c r="V15" s="3"/>
      <c r="W15" s="3"/>
    </row>
    <row r="16" spans="2:38">
      <c r="B16" s="16"/>
      <c r="C16" s="17"/>
      <c r="D16" s="27" t="s">
        <v>11</v>
      </c>
      <c r="E16" s="19" t="s">
        <v>54</v>
      </c>
      <c r="F16" s="19" t="s">
        <v>12</v>
      </c>
      <c r="G16" s="18"/>
      <c r="H16" s="3"/>
      <c r="I16" s="116"/>
      <c r="J16" s="26" t="s">
        <v>26</v>
      </c>
      <c r="K16" s="26" t="s">
        <v>22</v>
      </c>
      <c r="L16" s="26" t="s">
        <v>141</v>
      </c>
      <c r="M16" s="26" t="s">
        <v>12</v>
      </c>
      <c r="N16" s="26" t="s">
        <v>103</v>
      </c>
      <c r="O16" s="26" t="s">
        <v>104</v>
      </c>
      <c r="P16" s="32"/>
      <c r="Q16" s="32"/>
      <c r="R16" s="32"/>
      <c r="S16" s="117" t="s">
        <v>102</v>
      </c>
      <c r="T16" s="3"/>
      <c r="U16" s="3"/>
      <c r="V16" s="3"/>
      <c r="W16" s="3"/>
      <c r="Y16" s="78" t="s">
        <v>95</v>
      </c>
      <c r="Z16" s="79"/>
      <c r="AA16" s="79"/>
      <c r="AE16" s="78" t="s">
        <v>96</v>
      </c>
      <c r="AF16" s="79"/>
      <c r="AG16" s="79"/>
      <c r="AK16" s="78" t="s">
        <v>97</v>
      </c>
      <c r="AL16" s="79"/>
    </row>
    <row r="17" spans="2:39">
      <c r="B17" s="2" t="s">
        <v>50</v>
      </c>
      <c r="C17" s="3"/>
      <c r="D17" s="11">
        <v>220000</v>
      </c>
      <c r="E17" s="107" t="s">
        <v>31</v>
      </c>
      <c r="F17" s="107" t="s">
        <v>41</v>
      </c>
      <c r="G17" s="149" t="str">
        <f>IF(D17=0," ",IF(N6&gt;=8760,"Eingabe kWh zu hoch", " "))</f>
        <v xml:space="preserve"> </v>
      </c>
      <c r="H17" s="3"/>
      <c r="I17" s="122" t="s">
        <v>19</v>
      </c>
      <c r="J17" s="91">
        <f>IF(D26=0,0,D26/VLOOKUP(E26,Tabelle_6,1,FALSE))</f>
        <v>0</v>
      </c>
      <c r="K17" s="15">
        <f>D26</f>
        <v>0</v>
      </c>
      <c r="L17" s="91">
        <f>K17*N17</f>
        <v>0</v>
      </c>
      <c r="M17" s="33">
        <f>Strom_netzbezogen</f>
        <v>1.8</v>
      </c>
      <c r="N17" s="94">
        <f>VLOOKUP(F26,Tabelle_7,2,FALSE)</f>
        <v>0</v>
      </c>
      <c r="O17" s="35">
        <f>(1-N17)*M17</f>
        <v>1.8</v>
      </c>
      <c r="P17" s="33"/>
      <c r="Q17" s="33"/>
      <c r="R17" s="33"/>
      <c r="S17" s="120">
        <f>IF(D26=0,0,J17*O17)</f>
        <v>0</v>
      </c>
      <c r="T17" s="3"/>
      <c r="U17" s="3"/>
      <c r="V17" s="3"/>
      <c r="W17" s="3"/>
      <c r="Y17" s="79" t="s">
        <v>36</v>
      </c>
      <c r="Z17" s="80">
        <v>2</v>
      </c>
      <c r="AA17" s="80">
        <v>3</v>
      </c>
      <c r="AB17" s="80">
        <v>4</v>
      </c>
      <c r="AC17" s="80">
        <v>5</v>
      </c>
      <c r="AE17" s="79" t="s">
        <v>36</v>
      </c>
      <c r="AF17" s="80">
        <v>2</v>
      </c>
      <c r="AG17" s="80">
        <v>3</v>
      </c>
      <c r="AH17" s="80">
        <v>4</v>
      </c>
      <c r="AI17" s="80">
        <v>5</v>
      </c>
      <c r="AK17" s="79" t="s">
        <v>36</v>
      </c>
      <c r="AL17" s="80">
        <v>1</v>
      </c>
      <c r="AM17" s="80">
        <v>2</v>
      </c>
    </row>
    <row r="18" spans="2:39">
      <c r="B18" s="2" t="s">
        <v>51</v>
      </c>
      <c r="C18" s="3"/>
      <c r="D18" s="11">
        <v>0</v>
      </c>
      <c r="E18" s="107" t="s">
        <v>74</v>
      </c>
      <c r="F18" s="107" t="s">
        <v>74</v>
      </c>
      <c r="G18" s="149" t="str">
        <f>IF(D18=0," ",IF(N7&gt;=8760,"Eingabe kWh zu hoch", " "))</f>
        <v xml:space="preserve"> </v>
      </c>
      <c r="H18" s="3"/>
      <c r="I18" s="137"/>
      <c r="J18" s="30" t="s">
        <v>21</v>
      </c>
      <c r="K18" s="17"/>
      <c r="L18" s="138"/>
      <c r="M18" s="30" t="s">
        <v>101</v>
      </c>
      <c r="N18" s="139"/>
      <c r="O18" s="30" t="s">
        <v>93</v>
      </c>
      <c r="P18" s="30" t="s">
        <v>94</v>
      </c>
      <c r="Q18" s="30" t="s">
        <v>144</v>
      </c>
      <c r="R18" s="30"/>
      <c r="S18" s="18"/>
      <c r="T18" s="3"/>
      <c r="U18" s="3"/>
      <c r="V18" s="3"/>
      <c r="W18" s="3"/>
      <c r="Y18" s="81" t="s">
        <v>46</v>
      </c>
      <c r="Z18" s="82" t="s">
        <v>40</v>
      </c>
      <c r="AA18" s="82" t="s">
        <v>55</v>
      </c>
      <c r="AB18" s="95" t="s">
        <v>113</v>
      </c>
      <c r="AC18" s="82" t="s">
        <v>166</v>
      </c>
      <c r="AE18" s="81" t="s">
        <v>47</v>
      </c>
      <c r="AF18" s="82" t="s">
        <v>40</v>
      </c>
      <c r="AG18" s="82" t="s">
        <v>55</v>
      </c>
      <c r="AH18" s="82" t="s">
        <v>113</v>
      </c>
      <c r="AI18" s="82" t="s">
        <v>166</v>
      </c>
      <c r="AK18" s="81" t="s">
        <v>47</v>
      </c>
      <c r="AL18" s="82" t="s">
        <v>40</v>
      </c>
      <c r="AM18" s="82" t="s">
        <v>55</v>
      </c>
    </row>
    <row r="19" spans="2:39">
      <c r="B19" s="2" t="s">
        <v>52</v>
      </c>
      <c r="C19" s="3"/>
      <c r="D19" s="11">
        <v>0</v>
      </c>
      <c r="E19" s="107" t="s">
        <v>74</v>
      </c>
      <c r="F19" s="107" t="s">
        <v>74</v>
      </c>
      <c r="G19" s="149" t="str">
        <f>IF(D19=0," ",IF(N8&gt;=8760,"Eingabe kWh zu hoch", " "))</f>
        <v xml:space="preserve"> </v>
      </c>
      <c r="H19" s="3"/>
      <c r="I19" s="13"/>
      <c r="J19" s="26" t="s">
        <v>23</v>
      </c>
      <c r="K19" s="3"/>
      <c r="L19" s="83"/>
      <c r="M19" s="26" t="s">
        <v>12</v>
      </c>
      <c r="N19" s="135"/>
      <c r="O19" s="26" t="s">
        <v>154</v>
      </c>
      <c r="P19" s="26" t="s">
        <v>23</v>
      </c>
      <c r="Q19" s="26" t="s">
        <v>152</v>
      </c>
      <c r="R19" s="32"/>
      <c r="S19" s="140" t="s">
        <v>102</v>
      </c>
      <c r="T19" s="3"/>
      <c r="U19" s="3"/>
      <c r="V19" s="3"/>
      <c r="W19" s="3"/>
      <c r="Y19" s="96" t="s">
        <v>74</v>
      </c>
      <c r="Z19" s="87"/>
      <c r="AA19" s="87"/>
      <c r="AB19" s="20"/>
      <c r="AE19" s="96" t="s">
        <v>74</v>
      </c>
      <c r="AF19" s="160"/>
      <c r="AG19" s="161"/>
      <c r="AH19" s="20"/>
      <c r="AK19" s="96" t="s">
        <v>8</v>
      </c>
      <c r="AL19" s="20">
        <v>1.8</v>
      </c>
      <c r="AM19" s="20">
        <v>560</v>
      </c>
    </row>
    <row r="20" spans="2:39">
      <c r="B20" s="2" t="s">
        <v>53</v>
      </c>
      <c r="C20" s="3"/>
      <c r="D20" s="11">
        <v>0</v>
      </c>
      <c r="E20" s="107" t="s">
        <v>74</v>
      </c>
      <c r="F20" s="107" t="s">
        <v>74</v>
      </c>
      <c r="G20" s="149" t="str">
        <f>IF(D20=0," ",IF(N9&gt;=8760,"Eingabe kWh zu hoch", " "))</f>
        <v xml:space="preserve"> </v>
      </c>
      <c r="H20" s="3"/>
      <c r="I20" s="13" t="s">
        <v>143</v>
      </c>
      <c r="J20" s="136">
        <f>D13</f>
        <v>2000</v>
      </c>
      <c r="K20" s="3"/>
      <c r="L20" s="83"/>
      <c r="M20" s="32">
        <f>Strom_netzbezogen</f>
        <v>1.8</v>
      </c>
      <c r="N20" s="135"/>
      <c r="O20" s="83">
        <f>N6*(VLOOKUP(E17,Tabelle_1,6,FALSE))</f>
        <v>442.53312302839117</v>
      </c>
      <c r="P20" s="83">
        <f>(8760-N6)*(VLOOKUP(E17,Tabelle_1,7,FALSE))</f>
        <v>77.162460567823345</v>
      </c>
      <c r="Q20" s="83">
        <f>IF(M6=0,0,O20+P20)</f>
        <v>519.69558359621453</v>
      </c>
      <c r="R20" s="32"/>
      <c r="S20" s="146">
        <f>IF(D13=0,0,J20*M20)</f>
        <v>3600</v>
      </c>
      <c r="T20" s="3"/>
      <c r="U20" s="3"/>
      <c r="V20" s="3"/>
      <c r="W20" s="3"/>
      <c r="Y20" s="86" t="s">
        <v>41</v>
      </c>
      <c r="Z20" s="24">
        <v>1.1000000000000001</v>
      </c>
      <c r="AA20" s="158">
        <v>240</v>
      </c>
      <c r="AB20" s="20" t="s">
        <v>111</v>
      </c>
      <c r="AC20" s="156">
        <v>0</v>
      </c>
      <c r="AE20" s="86" t="s">
        <v>41</v>
      </c>
      <c r="AF20" s="24">
        <v>1.1000000000000001</v>
      </c>
      <c r="AG20" s="158">
        <v>240</v>
      </c>
      <c r="AH20" s="20" t="s">
        <v>111</v>
      </c>
      <c r="AI20" s="156">
        <v>0</v>
      </c>
      <c r="AK20" s="86" t="s">
        <v>7</v>
      </c>
      <c r="AL20" s="20">
        <v>2.8</v>
      </c>
      <c r="AM20" s="20">
        <v>860</v>
      </c>
    </row>
    <row r="21" spans="2:39">
      <c r="B21" s="2"/>
      <c r="C21" s="3"/>
      <c r="D21" s="26" t="s">
        <v>11</v>
      </c>
      <c r="E21" s="12" t="s">
        <v>0</v>
      </c>
      <c r="F21" s="12" t="s">
        <v>12</v>
      </c>
      <c r="G21" s="4"/>
      <c r="H21" s="3"/>
      <c r="I21" s="13"/>
      <c r="J21" s="136"/>
      <c r="K21" s="3"/>
      <c r="L21" s="83"/>
      <c r="M21" s="32"/>
      <c r="N21" s="135"/>
      <c r="O21" s="83" t="e">
        <f>N7*(VLOOKUP(E18,Tabelle_1,6,FALSE))</f>
        <v>#DIV/0!</v>
      </c>
      <c r="P21" s="83" t="e">
        <f>(8760-N7)*(VLOOKUP(E18,Tabelle_1,7,FALSE))</f>
        <v>#DIV/0!</v>
      </c>
      <c r="Q21" s="83">
        <f t="shared" ref="Q21:Q23" si="2">IF(M7=0,0,O21+P21)</f>
        <v>0</v>
      </c>
      <c r="R21" s="32"/>
      <c r="S21" s="146"/>
      <c r="T21" s="3"/>
      <c r="U21" s="3"/>
      <c r="V21" s="3"/>
      <c r="W21" s="3"/>
      <c r="Y21" s="22" t="s">
        <v>161</v>
      </c>
      <c r="Z21" s="24">
        <v>1.04</v>
      </c>
      <c r="AA21" s="158">
        <v>230</v>
      </c>
      <c r="AB21" s="20" t="s">
        <v>112</v>
      </c>
      <c r="AC21" s="156">
        <v>0.1</v>
      </c>
      <c r="AE21" s="22" t="s">
        <v>161</v>
      </c>
      <c r="AF21" s="24">
        <v>1.06</v>
      </c>
      <c r="AG21" s="158">
        <v>230</v>
      </c>
      <c r="AH21" s="20" t="s">
        <v>112</v>
      </c>
      <c r="AI21" s="156">
        <v>0.1</v>
      </c>
    </row>
    <row r="22" spans="2:39">
      <c r="B22" s="13" t="s">
        <v>120</v>
      </c>
      <c r="C22" s="3"/>
      <c r="D22" s="11">
        <v>40000</v>
      </c>
      <c r="E22" s="107" t="s">
        <v>80</v>
      </c>
      <c r="F22" s="107" t="s">
        <v>41</v>
      </c>
      <c r="G22" s="4"/>
      <c r="H22" s="3"/>
      <c r="I22" s="13"/>
      <c r="J22" s="136"/>
      <c r="K22" s="3"/>
      <c r="L22" s="83"/>
      <c r="M22" s="32"/>
      <c r="N22" s="135"/>
      <c r="O22" s="83" t="e">
        <f>N8*(VLOOKUP(E19,Tabelle_1,6,FALSE))</f>
        <v>#DIV/0!</v>
      </c>
      <c r="P22" s="83" t="e">
        <f>(8760-N8)*(VLOOKUP(E19,Tabelle_1,7,FALSE))</f>
        <v>#DIV/0!</v>
      </c>
      <c r="Q22" s="83">
        <f t="shared" si="2"/>
        <v>0</v>
      </c>
      <c r="R22" s="32"/>
      <c r="S22" s="146"/>
      <c r="T22" s="3"/>
      <c r="U22" s="3"/>
      <c r="V22" s="3"/>
      <c r="W22" s="3"/>
      <c r="Y22" s="22" t="s">
        <v>162</v>
      </c>
      <c r="Z22" s="24">
        <v>1.01</v>
      </c>
      <c r="AA22" s="158">
        <v>225</v>
      </c>
      <c r="AB22" s="20" t="s">
        <v>112</v>
      </c>
      <c r="AC22" s="156">
        <v>0.15</v>
      </c>
      <c r="AE22" s="22" t="s">
        <v>162</v>
      </c>
      <c r="AF22" s="157">
        <v>1.04</v>
      </c>
      <c r="AG22" s="158">
        <v>225</v>
      </c>
      <c r="AH22" s="20" t="s">
        <v>112</v>
      </c>
      <c r="AI22" s="156">
        <v>0.15</v>
      </c>
    </row>
    <row r="23" spans="2:39">
      <c r="B23" s="13" t="s">
        <v>121</v>
      </c>
      <c r="C23" s="3"/>
      <c r="D23" s="11">
        <v>0</v>
      </c>
      <c r="E23" s="107" t="s">
        <v>74</v>
      </c>
      <c r="F23" s="107" t="s">
        <v>74</v>
      </c>
      <c r="G23" s="4"/>
      <c r="I23" s="13"/>
      <c r="J23" s="136"/>
      <c r="K23" s="3"/>
      <c r="L23" s="83"/>
      <c r="M23" s="32"/>
      <c r="N23" s="135"/>
      <c r="O23" s="83" t="e">
        <f>N9*(VLOOKUP(E20,Tabelle_1,6,FALSE))</f>
        <v>#DIV/0!</v>
      </c>
      <c r="P23" s="83" t="e">
        <f>(8760-N9)*(VLOOKUP(E20,Tabelle_1,7,FALSE))</f>
        <v>#DIV/0!</v>
      </c>
      <c r="Q23" s="83">
        <f t="shared" si="2"/>
        <v>0</v>
      </c>
      <c r="R23" s="32"/>
      <c r="S23" s="146"/>
      <c r="Y23" s="22" t="s">
        <v>163</v>
      </c>
      <c r="Z23" s="24">
        <v>0.98000000000000009</v>
      </c>
      <c r="AA23" s="158">
        <v>220</v>
      </c>
      <c r="AB23" s="20" t="s">
        <v>112</v>
      </c>
      <c r="AC23" s="156">
        <v>0.2</v>
      </c>
      <c r="AE23" s="22" t="s">
        <v>163</v>
      </c>
      <c r="AF23" s="24">
        <v>1.02</v>
      </c>
      <c r="AG23" s="158">
        <v>220</v>
      </c>
      <c r="AH23" s="20" t="s">
        <v>112</v>
      </c>
      <c r="AI23" s="156">
        <v>0.2</v>
      </c>
    </row>
    <row r="24" spans="2:39">
      <c r="B24" s="13" t="s">
        <v>122</v>
      </c>
      <c r="C24" s="3"/>
      <c r="D24" s="11">
        <v>0</v>
      </c>
      <c r="E24" s="107" t="s">
        <v>74</v>
      </c>
      <c r="F24" s="107" t="s">
        <v>74</v>
      </c>
      <c r="G24" s="4"/>
      <c r="H24" s="56"/>
      <c r="I24" s="14"/>
      <c r="J24" s="141"/>
      <c r="K24" s="9"/>
      <c r="L24" s="91"/>
      <c r="M24" s="33"/>
      <c r="N24" s="94"/>
      <c r="O24" s="35"/>
      <c r="P24" s="147" t="s">
        <v>153</v>
      </c>
      <c r="Q24" s="148">
        <f>SUM(Q20:Q23)</f>
        <v>519.69558359621453</v>
      </c>
      <c r="R24" s="33"/>
      <c r="S24" s="142"/>
      <c r="T24" s="56"/>
      <c r="U24" s="56"/>
      <c r="V24" s="56"/>
      <c r="W24" s="56"/>
      <c r="Y24" s="22" t="s">
        <v>164</v>
      </c>
      <c r="Z24" s="24">
        <v>0.95000000000000007</v>
      </c>
      <c r="AA24" s="158">
        <v>215</v>
      </c>
      <c r="AB24" s="20" t="s">
        <v>112</v>
      </c>
      <c r="AC24" s="156">
        <v>0.25</v>
      </c>
      <c r="AE24" s="22" t="s">
        <v>164</v>
      </c>
      <c r="AF24" s="24">
        <v>1</v>
      </c>
      <c r="AG24" s="158">
        <v>215</v>
      </c>
      <c r="AH24" s="20" t="s">
        <v>112</v>
      </c>
      <c r="AI24" s="156">
        <v>0.25</v>
      </c>
    </row>
    <row r="25" spans="2:39">
      <c r="B25" s="2"/>
      <c r="C25" s="3"/>
      <c r="D25" s="26" t="s">
        <v>11</v>
      </c>
      <c r="E25" s="12" t="s">
        <v>17</v>
      </c>
      <c r="F25" s="130" t="s">
        <v>18</v>
      </c>
      <c r="G25" s="4"/>
      <c r="H25" s="55"/>
      <c r="I25" s="116"/>
      <c r="J25" s="30" t="s">
        <v>25</v>
      </c>
      <c r="K25" s="30" t="s">
        <v>140</v>
      </c>
      <c r="L25" s="30" t="s">
        <v>114</v>
      </c>
      <c r="M25" s="3"/>
      <c r="N25" s="3"/>
      <c r="O25" s="3"/>
      <c r="P25" s="32"/>
      <c r="Q25" s="32"/>
      <c r="R25" s="36" t="s">
        <v>105</v>
      </c>
      <c r="S25" s="118">
        <f>SUM(S6:S9)+SUM(S12:S14)+S17+S20</f>
        <v>116476.27059235891</v>
      </c>
      <c r="T25" s="55"/>
      <c r="U25" s="55"/>
      <c r="V25" s="55"/>
      <c r="W25" s="55"/>
      <c r="Y25" s="22" t="s">
        <v>165</v>
      </c>
      <c r="Z25" s="24">
        <v>0.92</v>
      </c>
      <c r="AA25" s="158">
        <v>210</v>
      </c>
      <c r="AB25" s="20" t="s">
        <v>112</v>
      </c>
      <c r="AC25" s="156">
        <v>0.3</v>
      </c>
      <c r="AE25" s="22" t="s">
        <v>165</v>
      </c>
      <c r="AF25" s="157">
        <v>0.98</v>
      </c>
      <c r="AG25" s="159">
        <v>210</v>
      </c>
      <c r="AH25" s="20" t="s">
        <v>112</v>
      </c>
      <c r="AI25" s="156">
        <v>0.3</v>
      </c>
    </row>
    <row r="26" spans="2:39">
      <c r="B26" s="13" t="s">
        <v>110</v>
      </c>
      <c r="C26" s="3"/>
      <c r="D26" s="11">
        <v>0</v>
      </c>
      <c r="E26" s="131" t="s">
        <v>74</v>
      </c>
      <c r="F26" s="132" t="s">
        <v>89</v>
      </c>
      <c r="G26" s="4"/>
      <c r="H26" s="55"/>
      <c r="I26" s="116"/>
      <c r="J26" s="26" t="s">
        <v>26</v>
      </c>
      <c r="K26" s="26" t="s">
        <v>22</v>
      </c>
      <c r="L26" s="26" t="s">
        <v>141</v>
      </c>
      <c r="M26" s="3"/>
      <c r="N26" s="3"/>
      <c r="O26" s="3"/>
      <c r="P26" s="3"/>
      <c r="Q26" s="3"/>
      <c r="R26" s="48" t="s">
        <v>115</v>
      </c>
      <c r="S26" s="123">
        <f>S25/D9</f>
        <v>0.48531779413482878</v>
      </c>
      <c r="T26" s="55"/>
      <c r="U26" s="55"/>
      <c r="V26" s="55"/>
      <c r="W26" s="55"/>
      <c r="Y26" s="22" t="s">
        <v>43</v>
      </c>
      <c r="Z26" s="24">
        <v>0.5</v>
      </c>
      <c r="AA26" s="158">
        <v>140</v>
      </c>
      <c r="AB26" s="20" t="s">
        <v>112</v>
      </c>
      <c r="AC26" s="156">
        <v>1</v>
      </c>
      <c r="AE26" s="22" t="s">
        <v>43</v>
      </c>
      <c r="AF26" s="24">
        <v>0.7</v>
      </c>
      <c r="AG26" s="158">
        <v>140</v>
      </c>
      <c r="AH26" s="20" t="s">
        <v>112</v>
      </c>
      <c r="AI26" s="156">
        <v>1</v>
      </c>
    </row>
    <row r="27" spans="2:39">
      <c r="B27" s="13"/>
      <c r="C27" s="3"/>
      <c r="D27" s="11"/>
      <c r="E27" s="131"/>
      <c r="F27" s="132"/>
      <c r="G27" s="4"/>
      <c r="H27" s="3"/>
      <c r="I27" s="116"/>
      <c r="J27" s="49">
        <f>SUM(J6:J9)+SUM(J12:J14)+J17+J20</f>
        <v>393447.5990185769</v>
      </c>
      <c r="K27" s="49">
        <f>SUM(K6:K9)+SUM(K12:K14)+K17</f>
        <v>260000</v>
      </c>
      <c r="L27" s="49">
        <f>SUM(L6:L9)+SUM(L12:L14)+L17</f>
        <v>0</v>
      </c>
      <c r="M27" s="3"/>
      <c r="N27" s="3"/>
      <c r="O27" s="3"/>
      <c r="P27" s="3"/>
      <c r="Q27" s="3"/>
      <c r="R27" s="3" t="s">
        <v>116</v>
      </c>
      <c r="S27" s="124">
        <f>IF(S26&lt;=0.3,0.3,S26)</f>
        <v>0.48531779413482878</v>
      </c>
      <c r="T27" s="3"/>
      <c r="U27" s="3"/>
      <c r="V27" s="3"/>
      <c r="W27" s="3"/>
      <c r="Y27" s="86" t="s">
        <v>42</v>
      </c>
      <c r="Z27" s="24">
        <v>1.1000000000000001</v>
      </c>
      <c r="AA27" s="158">
        <v>270</v>
      </c>
      <c r="AB27" s="20" t="s">
        <v>111</v>
      </c>
      <c r="AC27" s="156">
        <v>0</v>
      </c>
      <c r="AE27" s="86" t="s">
        <v>42</v>
      </c>
      <c r="AF27" s="24">
        <v>1.1000000000000001</v>
      </c>
      <c r="AG27" s="158">
        <v>270</v>
      </c>
      <c r="AH27" s="20" t="s">
        <v>111</v>
      </c>
      <c r="AI27" s="156">
        <v>0</v>
      </c>
    </row>
    <row r="28" spans="2:39">
      <c r="B28" s="2" t="s">
        <v>20</v>
      </c>
      <c r="C28" s="3"/>
      <c r="D28" s="106">
        <f>SUM(D17:D20)+SUM(D22:D24)+D26</f>
        <v>260000</v>
      </c>
      <c r="E28" s="37" t="str">
        <f>IF(D28=D11,"  CHECK ok (Wärmebilanz ausgeglichen)"," CHECK: Fehler in Wärmebilanz")</f>
        <v xml:space="preserve">  CHECK ok (Wärmebilanz ausgeglichen)</v>
      </c>
      <c r="F28" s="3"/>
      <c r="G28" s="4"/>
      <c r="H28" s="3"/>
      <c r="I28" s="116"/>
      <c r="J28" s="3"/>
      <c r="K28" s="3"/>
      <c r="L28" s="3"/>
      <c r="M28" s="3"/>
      <c r="N28" s="3"/>
      <c r="O28" s="3"/>
      <c r="P28" s="3"/>
      <c r="Q28" s="3"/>
      <c r="R28" s="3" t="s">
        <v>142</v>
      </c>
      <c r="S28" s="125">
        <f>L27/K27</f>
        <v>0</v>
      </c>
      <c r="T28" s="3"/>
      <c r="U28" s="3"/>
      <c r="V28" s="3"/>
      <c r="W28" s="3"/>
      <c r="Y28" s="86" t="s">
        <v>167</v>
      </c>
      <c r="Z28" s="24">
        <v>1.04</v>
      </c>
      <c r="AA28" s="158">
        <v>261</v>
      </c>
      <c r="AB28" s="20" t="s">
        <v>112</v>
      </c>
      <c r="AC28" s="156">
        <v>0.1</v>
      </c>
      <c r="AE28" s="86" t="s">
        <v>167</v>
      </c>
      <c r="AF28" s="24">
        <v>1.06</v>
      </c>
      <c r="AG28" s="158">
        <v>261</v>
      </c>
      <c r="AH28" s="20" t="s">
        <v>112</v>
      </c>
      <c r="AI28" s="156">
        <v>0.1</v>
      </c>
    </row>
    <row r="29" spans="2:39">
      <c r="B29" s="38" t="s">
        <v>124</v>
      </c>
      <c r="C29" s="39"/>
      <c r="D29" s="97">
        <f>SUM(D17:D20)/D28</f>
        <v>0.84615384615384615</v>
      </c>
      <c r="E29" s="37"/>
      <c r="F29" s="3"/>
      <c r="G29" s="4"/>
      <c r="H29" s="3"/>
      <c r="I29" s="116"/>
      <c r="J29" s="3"/>
      <c r="K29" s="3"/>
      <c r="L29" s="3"/>
      <c r="M29" s="3"/>
      <c r="N29" s="3"/>
      <c r="O29" s="3"/>
      <c r="P29" s="3"/>
      <c r="Q29" s="3"/>
      <c r="R29" s="3" t="s">
        <v>117</v>
      </c>
      <c r="S29" s="125"/>
      <c r="T29" s="3"/>
      <c r="U29" s="3"/>
      <c r="V29" s="3"/>
      <c r="W29" s="3"/>
      <c r="Y29" s="86" t="s">
        <v>169</v>
      </c>
      <c r="Z29" s="24">
        <v>1.01</v>
      </c>
      <c r="AA29" s="159">
        <v>256.5</v>
      </c>
      <c r="AB29" s="20" t="s">
        <v>112</v>
      </c>
      <c r="AC29" s="156">
        <v>0.15</v>
      </c>
      <c r="AE29" s="86" t="s">
        <v>169</v>
      </c>
      <c r="AF29" s="24">
        <v>1.04</v>
      </c>
      <c r="AG29" s="158">
        <v>256.5</v>
      </c>
      <c r="AH29" s="20" t="s">
        <v>112</v>
      </c>
      <c r="AI29" s="156">
        <v>0.15</v>
      </c>
    </row>
    <row r="30" spans="2:39">
      <c r="B30" s="38" t="s">
        <v>107</v>
      </c>
      <c r="C30" s="39"/>
      <c r="D30" s="97">
        <f>D22/D28</f>
        <v>0.15384615384615385</v>
      </c>
      <c r="E30" s="37"/>
      <c r="F30" s="3"/>
      <c r="G30" s="4"/>
      <c r="H30" s="3"/>
      <c r="I30" s="116"/>
      <c r="J30" s="3"/>
      <c r="K30" s="3"/>
      <c r="L30" s="3"/>
      <c r="M30" s="3"/>
      <c r="N30" s="3"/>
      <c r="O30" s="3"/>
      <c r="P30" s="3"/>
      <c r="Q30" s="3"/>
      <c r="R30" s="3">
        <f>0.001*S28*100</f>
        <v>0</v>
      </c>
      <c r="S30" s="125"/>
      <c r="T30" s="3"/>
      <c r="U30" s="3"/>
      <c r="V30" s="3"/>
      <c r="W30" s="3"/>
      <c r="Y30" s="86" t="s">
        <v>168</v>
      </c>
      <c r="Z30" s="24">
        <v>0.98000000000000009</v>
      </c>
      <c r="AA30" s="158">
        <v>252</v>
      </c>
      <c r="AB30" s="20" t="s">
        <v>112</v>
      </c>
      <c r="AC30" s="156">
        <v>0.2</v>
      </c>
      <c r="AE30" s="86" t="s">
        <v>168</v>
      </c>
      <c r="AF30" s="24">
        <v>1.02</v>
      </c>
      <c r="AG30" s="158">
        <v>252</v>
      </c>
      <c r="AH30" s="20" t="s">
        <v>112</v>
      </c>
      <c r="AI30" s="156">
        <v>0.2</v>
      </c>
    </row>
    <row r="31" spans="2:39">
      <c r="B31" s="40" t="s">
        <v>108</v>
      </c>
      <c r="C31" s="25"/>
      <c r="D31" s="98">
        <f>D26/D28</f>
        <v>0</v>
      </c>
      <c r="E31" s="9"/>
      <c r="F31" s="9"/>
      <c r="G31" s="6"/>
      <c r="H31" s="3"/>
      <c r="I31" s="126"/>
      <c r="J31" s="127"/>
      <c r="K31" s="127"/>
      <c r="L31" s="127"/>
      <c r="M31" s="127"/>
      <c r="N31" s="127"/>
      <c r="O31" s="127"/>
      <c r="P31" s="127"/>
      <c r="Q31" s="127"/>
      <c r="R31" s="128" t="s">
        <v>118</v>
      </c>
      <c r="S31" s="129">
        <f>IF(S26&gt;0.3,S26,S27-R30)</f>
        <v>0.48531779413482878</v>
      </c>
      <c r="T31" s="3"/>
      <c r="U31" s="3"/>
      <c r="V31" s="3"/>
      <c r="W31" s="3"/>
      <c r="Y31" s="86" t="s">
        <v>170</v>
      </c>
      <c r="Z31" s="24">
        <v>0.95000000000000007</v>
      </c>
      <c r="AA31" s="158">
        <v>247.5</v>
      </c>
      <c r="AB31" s="20" t="s">
        <v>112</v>
      </c>
      <c r="AC31" s="156">
        <v>0.25</v>
      </c>
      <c r="AE31" s="86" t="s">
        <v>170</v>
      </c>
      <c r="AF31" s="24">
        <v>1</v>
      </c>
      <c r="AG31" s="158">
        <v>247.5</v>
      </c>
      <c r="AH31" s="20" t="s">
        <v>112</v>
      </c>
      <c r="AI31" s="156">
        <v>0.25</v>
      </c>
    </row>
    <row r="32" spans="2:39">
      <c r="B32" s="16"/>
      <c r="C32" s="17"/>
      <c r="D32" s="17"/>
      <c r="E32" s="17"/>
      <c r="F32" s="17"/>
      <c r="G32" s="18"/>
      <c r="H32" s="3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3"/>
      <c r="U32" s="3"/>
      <c r="V32" s="3"/>
      <c r="W32" s="3"/>
      <c r="Y32" s="86" t="s">
        <v>171</v>
      </c>
      <c r="Z32" s="24">
        <v>0.92</v>
      </c>
      <c r="AA32" s="158">
        <v>243</v>
      </c>
      <c r="AB32" s="20" t="s">
        <v>112</v>
      </c>
      <c r="AC32" s="156">
        <v>0.3</v>
      </c>
      <c r="AE32" s="86" t="s">
        <v>171</v>
      </c>
      <c r="AF32" s="24">
        <v>0.98</v>
      </c>
      <c r="AG32" s="158">
        <v>243</v>
      </c>
      <c r="AH32" s="20" t="s">
        <v>112</v>
      </c>
      <c r="AI32" s="156">
        <v>0.3</v>
      </c>
    </row>
    <row r="33" spans="2:35" ht="21">
      <c r="B33" s="42"/>
      <c r="C33" s="43" t="s">
        <v>1</v>
      </c>
      <c r="D33" s="44"/>
      <c r="E33" s="45"/>
      <c r="F33" s="46">
        <f>S31</f>
        <v>0.48531779413482878</v>
      </c>
      <c r="G33" s="47"/>
      <c r="H33" s="3"/>
      <c r="I33" s="75" t="s">
        <v>129</v>
      </c>
      <c r="J33" s="68"/>
      <c r="K33" s="68"/>
      <c r="L33" s="68"/>
      <c r="M33" s="69"/>
      <c r="N33" s="3"/>
      <c r="O33" s="3"/>
      <c r="P33" s="3"/>
      <c r="Q33" s="3"/>
      <c r="R33" s="3"/>
      <c r="S33" s="55"/>
      <c r="T33" s="3"/>
      <c r="U33" s="3"/>
      <c r="V33" s="3"/>
      <c r="W33" s="3"/>
      <c r="Y33" s="22" t="s">
        <v>44</v>
      </c>
      <c r="Z33" s="24">
        <v>0.5</v>
      </c>
      <c r="AA33" s="158">
        <v>180</v>
      </c>
      <c r="AB33" s="20" t="s">
        <v>112</v>
      </c>
      <c r="AC33" s="156">
        <v>1</v>
      </c>
      <c r="AE33" s="22" t="s">
        <v>44</v>
      </c>
      <c r="AF33" s="24">
        <v>0.7</v>
      </c>
      <c r="AG33" s="158">
        <v>180</v>
      </c>
      <c r="AH33" s="20" t="s">
        <v>112</v>
      </c>
      <c r="AI33" s="156">
        <v>1</v>
      </c>
    </row>
    <row r="34" spans="2:35">
      <c r="B34" s="2"/>
      <c r="C34" s="52" t="s">
        <v>178</v>
      </c>
      <c r="D34" s="37"/>
      <c r="E34" s="37"/>
      <c r="F34" s="3"/>
      <c r="G34" s="4"/>
      <c r="H34" s="3"/>
      <c r="I34" s="60"/>
      <c r="J34" s="30" t="s">
        <v>55</v>
      </c>
      <c r="K34" s="57" t="s">
        <v>55</v>
      </c>
      <c r="L34" s="3"/>
      <c r="M34" s="65"/>
      <c r="N34" s="3"/>
      <c r="O34" s="3"/>
      <c r="P34" s="3"/>
      <c r="Q34" s="3"/>
      <c r="R34" s="3"/>
      <c r="S34" s="3"/>
      <c r="T34" s="3"/>
      <c r="U34" s="3"/>
      <c r="V34" s="3"/>
      <c r="W34" s="3"/>
      <c r="Y34" s="22" t="s">
        <v>45</v>
      </c>
      <c r="Z34" s="157">
        <v>0.3</v>
      </c>
      <c r="AA34" s="159">
        <v>75</v>
      </c>
      <c r="AB34" s="20" t="s">
        <v>112</v>
      </c>
      <c r="AC34" s="156">
        <v>1</v>
      </c>
      <c r="AE34" s="22" t="s">
        <v>45</v>
      </c>
      <c r="AF34" s="157">
        <v>0.3</v>
      </c>
      <c r="AG34" s="159">
        <v>75</v>
      </c>
      <c r="AH34" s="20" t="s">
        <v>112</v>
      </c>
      <c r="AI34" s="156">
        <v>1</v>
      </c>
    </row>
    <row r="35" spans="2:35">
      <c r="B35" s="2"/>
      <c r="C35" s="37" t="s">
        <v>179</v>
      </c>
      <c r="D35" s="37"/>
      <c r="E35" s="53">
        <f>S26</f>
        <v>0.48531779413482878</v>
      </c>
      <c r="F35" s="3"/>
      <c r="G35" s="4"/>
      <c r="H35" s="3"/>
      <c r="I35" s="61"/>
      <c r="J35" s="26" t="s">
        <v>127</v>
      </c>
      <c r="K35" s="58" t="s">
        <v>128</v>
      </c>
      <c r="L35" s="3"/>
      <c r="M35" s="65"/>
      <c r="N35" s="3"/>
      <c r="O35" s="3"/>
      <c r="P35" s="3"/>
      <c r="Q35" s="3"/>
      <c r="R35" s="3"/>
      <c r="S35" s="3"/>
      <c r="T35" s="3"/>
      <c r="U35" s="3"/>
      <c r="V35" s="3"/>
      <c r="W35" s="3"/>
      <c r="AE35" s="22" t="s">
        <v>125</v>
      </c>
      <c r="AF35" s="157">
        <v>0.2</v>
      </c>
      <c r="AG35" s="159">
        <v>20</v>
      </c>
      <c r="AH35" s="20" t="s">
        <v>112</v>
      </c>
      <c r="AI35" s="156">
        <v>1</v>
      </c>
    </row>
    <row r="36" spans="2:35">
      <c r="B36" s="2"/>
      <c r="C36" s="37" t="s">
        <v>180</v>
      </c>
      <c r="D36" s="37"/>
      <c r="E36" s="162" t="str">
        <f>IF(S26&gt;0.3," Keine Kappung aktiviert."," aktiviert auf  fp="&amp;S27)</f>
        <v xml:space="preserve"> Keine Kappung aktiviert.</v>
      </c>
      <c r="F36" s="3"/>
      <c r="G36" s="4"/>
      <c r="H36" s="3"/>
      <c r="I36" s="61" t="s">
        <v>13</v>
      </c>
      <c r="J36" s="99">
        <f>IF(J6=0,0,J6*(VLOOKUP(F17,Tabelle_2,3,FALSE)/1000))</f>
        <v>83280.757097791793</v>
      </c>
      <c r="K36" s="59">
        <f>IF(P6=0,0,P6*EMFA_Verdrängungsmix*-1/1000)</f>
        <v>-97584.227129337538</v>
      </c>
      <c r="L36" s="3"/>
      <c r="M36" s="65"/>
      <c r="N36" s="3"/>
      <c r="O36" s="3"/>
      <c r="P36" s="3"/>
      <c r="Q36" s="3"/>
      <c r="R36" s="3"/>
      <c r="S36" s="3"/>
      <c r="T36" s="3"/>
      <c r="U36" s="3"/>
      <c r="V36" s="3"/>
      <c r="W36" s="3"/>
      <c r="Y36" s="20"/>
      <c r="Z36" s="20"/>
      <c r="AA36" s="20"/>
      <c r="AB36" s="20"/>
      <c r="AC36" s="156"/>
      <c r="AE36" s="22" t="s">
        <v>123</v>
      </c>
      <c r="AF36" s="157">
        <v>1.1000000000000001</v>
      </c>
      <c r="AG36" s="158">
        <v>310</v>
      </c>
      <c r="AH36" s="20" t="s">
        <v>111</v>
      </c>
      <c r="AI36" s="156">
        <v>0</v>
      </c>
    </row>
    <row r="37" spans="2:35">
      <c r="B37" s="2"/>
      <c r="C37" s="37" t="s">
        <v>119</v>
      </c>
      <c r="D37" s="37"/>
      <c r="E37" s="109" t="str">
        <f>IF(S26&gt;0.3," Kein EE-Anteil.",S28)</f>
        <v xml:space="preserve"> Kein EE-Anteil.</v>
      </c>
      <c r="F37" s="3"/>
      <c r="G37" s="4"/>
      <c r="H37" s="3"/>
      <c r="I37" s="61" t="s">
        <v>14</v>
      </c>
      <c r="J37" s="99">
        <f>IF(J7=0,0,J7*(VLOOKUP(F18,Tabelle_2,3,FALSE)/1000))</f>
        <v>0</v>
      </c>
      <c r="K37" s="59">
        <f>IF(P7=0,0,P7*EMFA_Verdrängungsmix*-1/1000)</f>
        <v>0</v>
      </c>
      <c r="L37" s="3"/>
      <c r="M37" s="65"/>
      <c r="N37" s="31"/>
      <c r="O37" s="3"/>
      <c r="P37" s="3"/>
      <c r="Q37" s="3"/>
      <c r="R37" s="3"/>
      <c r="S37" s="3"/>
      <c r="T37" s="3"/>
      <c r="U37" s="3"/>
      <c r="V37" s="3"/>
      <c r="W37" s="3"/>
      <c r="Y37" s="20"/>
      <c r="Z37" s="20"/>
      <c r="AA37" s="20"/>
      <c r="AB37" s="20"/>
      <c r="AC37" s="156"/>
    </row>
    <row r="38" spans="2:35">
      <c r="B38" s="2"/>
      <c r="C38" s="37" t="s">
        <v>181</v>
      </c>
      <c r="D38" s="37"/>
      <c r="E38" s="53" t="str">
        <f>IF(S26&gt;0.3," Keine Absenkung aktiviert.",R30*-1)</f>
        <v xml:space="preserve"> Keine Absenkung aktiviert.</v>
      </c>
      <c r="F38" s="3"/>
      <c r="G38" s="4"/>
      <c r="H38" s="3"/>
      <c r="I38" s="61" t="s">
        <v>15</v>
      </c>
      <c r="J38" s="99">
        <f>IF(J8=0,0,J8*(VLOOKUP(F19,Tabelle_2,3,FALSE)/1000))</f>
        <v>0</v>
      </c>
      <c r="K38" s="59">
        <f>IF(P8=0,0,P8*EMFA_Verdrängungsmix*-1/1000)</f>
        <v>0</v>
      </c>
      <c r="L38" s="3"/>
      <c r="M38" s="65"/>
      <c r="N38" s="3"/>
      <c r="O38" s="3"/>
      <c r="P38" s="3"/>
      <c r="Q38" s="3"/>
      <c r="R38" s="3"/>
      <c r="S38" s="3"/>
      <c r="T38" s="3"/>
      <c r="U38" s="3"/>
      <c r="V38" s="3"/>
      <c r="W38" s="3"/>
      <c r="X38" s="8"/>
      <c r="Y38" s="20"/>
      <c r="Z38" s="20"/>
      <c r="AA38" s="20"/>
      <c r="AB38" s="20"/>
      <c r="AC38" s="156"/>
    </row>
    <row r="39" spans="2:35">
      <c r="B39" s="5"/>
      <c r="C39" s="9"/>
      <c r="D39" s="9"/>
      <c r="E39" s="9"/>
      <c r="F39" s="9"/>
      <c r="G39" s="6"/>
      <c r="H39" s="3"/>
      <c r="I39" s="62" t="s">
        <v>16</v>
      </c>
      <c r="J39" s="102">
        <f>IF(J9=0,0,J9*(VLOOKUP(F20,Tabelle_2,3,FALSE)/1000))</f>
        <v>0</v>
      </c>
      <c r="K39" s="59">
        <f>IF(P9=0,0,P9*EMFA_Verdrängungsmix*-1/1000)</f>
        <v>0</v>
      </c>
      <c r="L39" s="3"/>
      <c r="M39" s="65"/>
      <c r="N39" s="3"/>
      <c r="O39" s="3"/>
      <c r="P39" s="3"/>
      <c r="Q39" s="3"/>
      <c r="R39" s="3"/>
      <c r="S39" s="3"/>
      <c r="T39" s="3"/>
      <c r="U39" s="3"/>
      <c r="V39" s="3"/>
      <c r="W39" s="3"/>
      <c r="X39" s="8"/>
      <c r="Y39" s="21"/>
      <c r="Z39" s="21"/>
      <c r="AA39" s="21"/>
      <c r="AB39" s="20"/>
      <c r="AC39" s="156"/>
    </row>
    <row r="40" spans="2:35">
      <c r="B40" s="16"/>
      <c r="C40" s="17"/>
      <c r="D40" s="17"/>
      <c r="E40" s="17"/>
      <c r="F40" s="17"/>
      <c r="G40" s="18"/>
      <c r="H40" s="3"/>
      <c r="I40" s="60"/>
      <c r="J40" s="30" t="s">
        <v>55</v>
      </c>
      <c r="K40" s="18"/>
      <c r="L40" s="32" t="s">
        <v>130</v>
      </c>
      <c r="M40" s="70">
        <f>J55+K55</f>
        <v>-2516.8033648790733</v>
      </c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35" ht="21">
      <c r="B41" s="42"/>
      <c r="C41" s="43" t="s">
        <v>132</v>
      </c>
      <c r="D41" s="44"/>
      <c r="E41" s="45"/>
      <c r="F41" s="76">
        <f>M43</f>
        <v>-10.48668068699614</v>
      </c>
      <c r="G41" s="47"/>
      <c r="H41" s="3"/>
      <c r="I41" s="61"/>
      <c r="J41" s="26" t="s">
        <v>127</v>
      </c>
      <c r="K41" s="4"/>
      <c r="L41" s="48" t="s">
        <v>130</v>
      </c>
      <c r="M41" s="73">
        <f>M40/1000</f>
        <v>-2.5168033648790735</v>
      </c>
      <c r="N41" s="3"/>
      <c r="O41" s="3"/>
      <c r="P41" s="3"/>
      <c r="Q41" s="3"/>
      <c r="R41" s="3"/>
      <c r="S41" s="3"/>
      <c r="T41" s="3"/>
      <c r="U41" s="3"/>
      <c r="V41" s="3"/>
      <c r="W41" s="3"/>
      <c r="Y41" s="78" t="s">
        <v>98</v>
      </c>
      <c r="Z41" s="79"/>
      <c r="AA41" s="79"/>
    </row>
    <row r="42" spans="2:35">
      <c r="B42" s="42"/>
      <c r="C42" s="44" t="s">
        <v>133</v>
      </c>
      <c r="D42" s="44"/>
      <c r="E42" s="45"/>
      <c r="F42" s="145">
        <f>M41</f>
        <v>-2.5168033648790735</v>
      </c>
      <c r="G42" s="47"/>
      <c r="H42" s="3"/>
      <c r="I42" s="63" t="s">
        <v>120</v>
      </c>
      <c r="J42" s="99">
        <f>IF(J12=0,0,J12*(VLOOKUP(F22,Tabelle_3,3,FALSE)/1000))</f>
        <v>10666.666666666666</v>
      </c>
      <c r="K42" s="4"/>
      <c r="L42" s="3"/>
      <c r="M42" s="65"/>
      <c r="N42" s="3"/>
      <c r="O42" s="3"/>
      <c r="P42" s="3"/>
      <c r="Q42" s="3"/>
      <c r="R42" s="3"/>
      <c r="S42" s="3"/>
      <c r="T42" s="3"/>
      <c r="U42" s="3"/>
      <c r="V42" s="3"/>
      <c r="W42" s="3"/>
      <c r="Y42" s="79" t="s">
        <v>36</v>
      </c>
      <c r="Z42" s="80">
        <v>1</v>
      </c>
      <c r="AA42" s="80"/>
    </row>
    <row r="43" spans="2:35">
      <c r="B43" s="2"/>
      <c r="C43" s="52" t="s">
        <v>134</v>
      </c>
      <c r="D43" s="39"/>
      <c r="E43" s="39"/>
      <c r="F43" s="39"/>
      <c r="G43" s="77"/>
      <c r="H43" s="3"/>
      <c r="I43" s="63" t="s">
        <v>121</v>
      </c>
      <c r="J43" s="99">
        <f>IF(J13=0,0,J13*(VLOOKUP(F23,Tabelle_3,3,FALSE)/1000))</f>
        <v>0</v>
      </c>
      <c r="K43" s="4"/>
      <c r="L43" s="48" t="s">
        <v>131</v>
      </c>
      <c r="M43" s="74">
        <f>(M40*1000)/D9</f>
        <v>-10.48668068699614</v>
      </c>
      <c r="N43" s="3"/>
      <c r="O43" s="3"/>
      <c r="P43" s="3"/>
      <c r="Q43" s="3"/>
      <c r="R43" s="3"/>
      <c r="S43" s="3"/>
      <c r="T43" s="3"/>
      <c r="U43" s="3"/>
      <c r="V43" s="3"/>
      <c r="W43" s="3"/>
      <c r="Y43" s="81" t="s">
        <v>48</v>
      </c>
      <c r="Z43" s="82" t="s">
        <v>37</v>
      </c>
      <c r="AA43" s="87"/>
    </row>
    <row r="44" spans="2:35">
      <c r="B44" s="2"/>
      <c r="C44" s="37" t="s">
        <v>135</v>
      </c>
      <c r="D44" s="39"/>
      <c r="E44" s="39"/>
      <c r="F44" s="39"/>
      <c r="G44" s="77"/>
      <c r="H44" s="3"/>
      <c r="I44" s="64" t="s">
        <v>122</v>
      </c>
      <c r="J44" s="102">
        <f>IF(J14=0,0,J14*(VLOOKUP(F24,Tabelle_3,3,FALSE)/1000))</f>
        <v>0</v>
      </c>
      <c r="K44" s="6"/>
      <c r="L44" s="3"/>
      <c r="M44" s="65"/>
      <c r="N44" s="3"/>
      <c r="O44" s="3"/>
      <c r="P44" s="3"/>
      <c r="Q44" s="3"/>
      <c r="R44" s="3"/>
      <c r="S44" s="3"/>
      <c r="T44" s="3"/>
      <c r="U44" s="3"/>
      <c r="V44" s="3"/>
      <c r="W44" s="3"/>
      <c r="Y44" s="100" t="s">
        <v>74</v>
      </c>
      <c r="AA44" s="20"/>
    </row>
    <row r="45" spans="2:35">
      <c r="B45" s="2"/>
      <c r="C45" s="39" t="s">
        <v>136</v>
      </c>
      <c r="D45" s="39"/>
      <c r="E45" s="39"/>
      <c r="F45" s="39"/>
      <c r="G45" s="77"/>
      <c r="H45" s="3"/>
      <c r="I45" s="60"/>
      <c r="J45" s="30" t="s">
        <v>55</v>
      </c>
      <c r="K45" s="18"/>
      <c r="L45" s="3"/>
      <c r="M45" s="65"/>
      <c r="N45" s="3"/>
      <c r="O45" s="3"/>
      <c r="P45" s="3"/>
      <c r="Q45" s="3"/>
      <c r="R45" s="3"/>
      <c r="S45" s="3"/>
      <c r="T45" s="3"/>
      <c r="U45" s="3"/>
      <c r="V45" s="3"/>
      <c r="W45" s="3"/>
      <c r="Y45" s="101" t="s">
        <v>75</v>
      </c>
      <c r="Z45" s="20">
        <v>0.85</v>
      </c>
      <c r="AA45" s="20"/>
    </row>
    <row r="46" spans="2:35">
      <c r="B46" s="5"/>
      <c r="C46" s="9"/>
      <c r="D46" s="9"/>
      <c r="E46" s="9"/>
      <c r="F46" s="9"/>
      <c r="G46" s="6"/>
      <c r="H46" s="3"/>
      <c r="I46" s="61"/>
      <c r="J46" s="26" t="s">
        <v>127</v>
      </c>
      <c r="K46" s="4"/>
      <c r="L46" s="3"/>
      <c r="M46" s="65"/>
      <c r="N46" s="3"/>
      <c r="O46" s="3"/>
      <c r="P46" s="3"/>
      <c r="Q46" s="3"/>
      <c r="R46" s="3"/>
      <c r="S46" s="3"/>
      <c r="T46" s="3"/>
      <c r="U46" s="3"/>
      <c r="V46" s="3"/>
      <c r="W46" s="3"/>
      <c r="Y46" s="101" t="s">
        <v>76</v>
      </c>
      <c r="Z46" s="20">
        <v>0.86</v>
      </c>
      <c r="AA46" s="20"/>
      <c r="AC46" s="78" t="s">
        <v>99</v>
      </c>
      <c r="AD46" s="79"/>
      <c r="AE46" s="79"/>
      <c r="AG46" s="78" t="s">
        <v>100</v>
      </c>
      <c r="AH46" s="79"/>
    </row>
    <row r="47" spans="2:35">
      <c r="B47" s="2"/>
      <c r="C47" s="3"/>
      <c r="D47" s="3"/>
      <c r="E47" s="3"/>
      <c r="F47" s="3"/>
      <c r="G47" s="4"/>
      <c r="H47" s="3"/>
      <c r="I47" s="64" t="s">
        <v>19</v>
      </c>
      <c r="J47" s="102">
        <f>IF(J17=0,0,(J17-L17)*EMFA_Strom_netzbezogen/1000)</f>
        <v>0</v>
      </c>
      <c r="K47" s="6"/>
      <c r="L47" s="3"/>
      <c r="M47" s="65"/>
      <c r="N47" s="3"/>
      <c r="O47" s="3"/>
      <c r="P47" s="3"/>
      <c r="Q47" s="3"/>
      <c r="R47" s="3"/>
      <c r="S47" s="3"/>
      <c r="T47" s="3"/>
      <c r="U47" s="3"/>
      <c r="V47" s="3"/>
      <c r="W47" s="3"/>
      <c r="Y47" s="101" t="s">
        <v>77</v>
      </c>
      <c r="Z47" s="20">
        <v>0.87</v>
      </c>
      <c r="AA47" s="20"/>
      <c r="AC47" s="79" t="s">
        <v>36</v>
      </c>
      <c r="AD47" s="80">
        <v>1</v>
      </c>
      <c r="AE47" s="80"/>
      <c r="AG47" s="79" t="s">
        <v>36</v>
      </c>
      <c r="AH47" s="80">
        <v>1</v>
      </c>
    </row>
    <row r="48" spans="2:35">
      <c r="B48" s="173" t="s">
        <v>4</v>
      </c>
      <c r="C48" s="174"/>
      <c r="D48" s="174"/>
      <c r="E48" s="174"/>
      <c r="F48" s="174"/>
      <c r="G48" s="175"/>
      <c r="I48" s="137"/>
      <c r="J48" s="30" t="s">
        <v>55</v>
      </c>
      <c r="K48" s="18"/>
      <c r="L48" s="3"/>
      <c r="M48" s="65"/>
      <c r="N48" s="3"/>
      <c r="O48" s="3"/>
      <c r="P48" s="3"/>
      <c r="Q48" s="3"/>
      <c r="R48" s="3"/>
      <c r="S48" s="3"/>
      <c r="Y48" s="101" t="s">
        <v>78</v>
      </c>
      <c r="Z48" s="20">
        <v>0.88</v>
      </c>
      <c r="AA48" s="20"/>
      <c r="AC48" s="81" t="s">
        <v>49</v>
      </c>
      <c r="AD48" s="82" t="s">
        <v>37</v>
      </c>
      <c r="AE48" s="87"/>
      <c r="AG48" s="81" t="s">
        <v>56</v>
      </c>
      <c r="AH48" s="82" t="s">
        <v>56</v>
      </c>
    </row>
    <row r="49" spans="1:34">
      <c r="B49" s="170" t="s">
        <v>2</v>
      </c>
      <c r="C49" s="171"/>
      <c r="D49" s="171"/>
      <c r="E49" s="171"/>
      <c r="F49" s="171"/>
      <c r="G49" s="172"/>
      <c r="I49" s="13"/>
      <c r="J49" s="26" t="s">
        <v>127</v>
      </c>
      <c r="K49" s="4"/>
      <c r="L49" s="3"/>
      <c r="M49" s="65"/>
      <c r="N49" s="3"/>
      <c r="O49" s="3"/>
      <c r="P49" s="3"/>
      <c r="Q49" s="3"/>
      <c r="R49" s="3"/>
      <c r="S49" s="3"/>
      <c r="Y49" s="101" t="s">
        <v>79</v>
      </c>
      <c r="Z49" s="20">
        <v>0.89</v>
      </c>
      <c r="AA49" s="20"/>
      <c r="AC49" s="100" t="s">
        <v>74</v>
      </c>
      <c r="AE49" s="23"/>
      <c r="AG49" s="103" t="s">
        <v>89</v>
      </c>
      <c r="AH49" s="28"/>
    </row>
    <row r="50" spans="1:34">
      <c r="A50" s="3"/>
      <c r="B50" s="170" t="s">
        <v>3</v>
      </c>
      <c r="C50" s="171"/>
      <c r="D50" s="171"/>
      <c r="E50" s="171"/>
      <c r="F50" s="171"/>
      <c r="G50" s="172"/>
      <c r="H50" s="3"/>
      <c r="I50" s="14" t="s">
        <v>155</v>
      </c>
      <c r="J50" s="102">
        <f>IF(J20=0,0,(J20)*EMFA_Strom_netzbezogen/1000)</f>
        <v>1120</v>
      </c>
      <c r="K50" s="6"/>
      <c r="L50" s="3"/>
      <c r="M50" s="65"/>
      <c r="N50" s="3"/>
      <c r="O50" s="3"/>
      <c r="P50" s="3"/>
      <c r="Q50" s="3"/>
      <c r="R50" s="3"/>
      <c r="S50" s="3"/>
      <c r="T50" s="3"/>
      <c r="U50" s="3"/>
      <c r="V50" s="3"/>
      <c r="W50" s="3"/>
      <c r="Y50" s="101" t="s">
        <v>80</v>
      </c>
      <c r="Z50" s="20">
        <v>0.9</v>
      </c>
      <c r="AA50" s="20"/>
      <c r="AC50" s="104">
        <v>2</v>
      </c>
      <c r="AD50" s="23">
        <v>2</v>
      </c>
      <c r="AE50" s="23"/>
      <c r="AG50" s="101" t="s">
        <v>57</v>
      </c>
      <c r="AH50" s="24">
        <v>0</v>
      </c>
    </row>
    <row r="51" spans="1:34">
      <c r="A51" s="3"/>
      <c r="B51" s="2"/>
      <c r="C51" s="3"/>
      <c r="D51" s="3"/>
      <c r="E51" s="3"/>
      <c r="F51" s="3"/>
      <c r="G51" s="4"/>
      <c r="H51" s="3"/>
      <c r="I51" s="63"/>
      <c r="J51" s="99"/>
      <c r="K51" s="3"/>
      <c r="L51" s="3"/>
      <c r="M51" s="65"/>
      <c r="N51" s="3"/>
      <c r="O51" s="3"/>
      <c r="P51" s="3"/>
      <c r="Q51" s="3"/>
      <c r="R51" s="3"/>
      <c r="S51" s="3"/>
      <c r="T51" s="3"/>
      <c r="U51" s="3"/>
      <c r="V51" s="3"/>
      <c r="W51" s="3"/>
      <c r="Y51" s="101" t="s">
        <v>81</v>
      </c>
      <c r="Z51" s="20">
        <v>0.91</v>
      </c>
      <c r="AA51" s="20"/>
      <c r="AC51" s="104">
        <v>2.1</v>
      </c>
      <c r="AD51" s="23">
        <v>2.1</v>
      </c>
      <c r="AE51" s="23"/>
      <c r="AG51" s="101" t="s">
        <v>58</v>
      </c>
      <c r="AH51" s="24">
        <v>0.05</v>
      </c>
    </row>
    <row r="52" spans="1:34">
      <c r="A52" s="3"/>
      <c r="B52" s="2"/>
      <c r="C52" s="3"/>
      <c r="D52" s="3"/>
      <c r="E52" s="3"/>
      <c r="F52" s="3"/>
      <c r="G52" s="4"/>
      <c r="H52" s="3"/>
      <c r="I52" s="63"/>
      <c r="J52" s="99"/>
      <c r="K52" s="3"/>
      <c r="L52" s="3"/>
      <c r="M52" s="65"/>
      <c r="N52" s="3"/>
      <c r="O52" s="3"/>
      <c r="P52" s="3"/>
      <c r="Q52" s="3"/>
      <c r="R52" s="3"/>
      <c r="S52" s="3"/>
      <c r="T52" s="3"/>
      <c r="U52" s="3"/>
      <c r="V52" s="3"/>
      <c r="W52" s="3"/>
      <c r="Y52" s="101" t="s">
        <v>82</v>
      </c>
      <c r="Z52" s="20">
        <v>0.92</v>
      </c>
      <c r="AA52" s="20"/>
      <c r="AC52" s="104">
        <v>2.2000000000000002</v>
      </c>
      <c r="AD52" s="23">
        <v>2.2000000000000002</v>
      </c>
      <c r="AE52" s="23"/>
      <c r="AG52" s="101" t="s">
        <v>59</v>
      </c>
      <c r="AH52" s="24">
        <v>0.1</v>
      </c>
    </row>
    <row r="53" spans="1:34">
      <c r="A53" s="3"/>
      <c r="B53" s="29" t="s">
        <v>146</v>
      </c>
      <c r="C53" s="3"/>
      <c r="D53" s="3"/>
      <c r="E53" s="3"/>
      <c r="F53" s="3"/>
      <c r="G53" s="4"/>
      <c r="H53" s="3"/>
      <c r="I53" s="61"/>
      <c r="J53" s="30" t="s">
        <v>55</v>
      </c>
      <c r="K53" s="30" t="s">
        <v>55</v>
      </c>
      <c r="L53" s="3"/>
      <c r="M53" s="65"/>
      <c r="N53" s="3"/>
      <c r="O53" s="3"/>
      <c r="P53" s="3"/>
      <c r="Q53" s="3"/>
      <c r="R53" s="3"/>
      <c r="S53" s="3"/>
      <c r="T53" s="3"/>
      <c r="U53" s="3"/>
      <c r="V53" s="3"/>
      <c r="W53" s="3"/>
      <c r="Y53" s="101" t="s">
        <v>83</v>
      </c>
      <c r="Z53" s="20">
        <v>0.93</v>
      </c>
      <c r="AA53" s="20"/>
      <c r="AC53" s="104">
        <v>2.3000000000000003</v>
      </c>
      <c r="AD53" s="23">
        <v>2.3000000000000003</v>
      </c>
      <c r="AE53" s="23"/>
      <c r="AG53" s="101" t="s">
        <v>60</v>
      </c>
      <c r="AH53" s="24">
        <v>0.15000000000000002</v>
      </c>
    </row>
    <row r="54" spans="1:34">
      <c r="B54" s="2"/>
      <c r="C54" s="3"/>
      <c r="D54" s="3"/>
      <c r="E54" s="3"/>
      <c r="F54" s="3"/>
      <c r="G54" s="4"/>
      <c r="H54" s="105"/>
      <c r="I54" s="61"/>
      <c r="J54" s="26" t="s">
        <v>127</v>
      </c>
      <c r="K54" s="26" t="s">
        <v>128</v>
      </c>
      <c r="L54" s="3"/>
      <c r="M54" s="65"/>
      <c r="S54" s="3"/>
      <c r="T54" s="105"/>
      <c r="U54" s="105"/>
      <c r="V54" s="105"/>
      <c r="W54" s="105"/>
      <c r="Y54" s="101" t="s">
        <v>84</v>
      </c>
      <c r="Z54" s="20">
        <v>0.94000000000000006</v>
      </c>
      <c r="AA54" s="20"/>
      <c r="AC54" s="104">
        <v>2.4000000000000004</v>
      </c>
      <c r="AD54" s="23">
        <v>2.4000000000000004</v>
      </c>
      <c r="AE54" s="23"/>
      <c r="AG54" s="101" t="s">
        <v>61</v>
      </c>
      <c r="AH54" s="24">
        <v>0.2</v>
      </c>
    </row>
    <row r="55" spans="1:34">
      <c r="B55" s="2"/>
      <c r="C55" s="3"/>
      <c r="D55" s="3"/>
      <c r="E55" s="3"/>
      <c r="F55" s="3"/>
      <c r="G55" s="4"/>
      <c r="H55" s="106"/>
      <c r="I55" s="66"/>
      <c r="J55" s="71">
        <f>SUM(J36:J39)+SUM(J42:J44)+J47+J50</f>
        <v>95067.423764458465</v>
      </c>
      <c r="K55" s="71">
        <f>SUM(K36:K39)</f>
        <v>-97584.227129337538</v>
      </c>
      <c r="L55" s="67"/>
      <c r="M55" s="72"/>
      <c r="T55" s="106"/>
      <c r="U55" s="106"/>
      <c r="V55" s="106"/>
      <c r="W55" s="106"/>
      <c r="Y55" s="101" t="s">
        <v>85</v>
      </c>
      <c r="Z55" s="20">
        <v>0.95000000000000007</v>
      </c>
      <c r="AA55" s="20"/>
      <c r="AC55" s="104">
        <v>2.5000000000000004</v>
      </c>
      <c r="AD55" s="23">
        <v>2.5000000000000004</v>
      </c>
      <c r="AE55" s="23"/>
      <c r="AG55" s="101" t="s">
        <v>62</v>
      </c>
      <c r="AH55" s="24">
        <v>0.25</v>
      </c>
    </row>
    <row r="56" spans="1:34">
      <c r="B56" s="2"/>
      <c r="C56" s="3"/>
      <c r="D56" s="3"/>
      <c r="E56" s="3"/>
      <c r="F56" s="3"/>
      <c r="G56" s="4"/>
      <c r="H56" s="106"/>
      <c r="I56" s="3"/>
      <c r="J56" s="3"/>
      <c r="K56" s="3"/>
      <c r="L56" s="3"/>
      <c r="M56" s="3"/>
      <c r="N56" s="3"/>
      <c r="O56" s="3"/>
      <c r="P56" s="3"/>
      <c r="Q56" s="3"/>
      <c r="R56" s="3"/>
      <c r="T56" s="106"/>
      <c r="U56" s="106"/>
      <c r="V56" s="106"/>
      <c r="W56" s="106"/>
      <c r="Y56" s="101" t="s">
        <v>86</v>
      </c>
      <c r="Z56" s="20">
        <v>0.96000000000000008</v>
      </c>
      <c r="AA56" s="20"/>
      <c r="AC56" s="104">
        <v>2.6000000000000005</v>
      </c>
      <c r="AD56" s="23">
        <v>2.6000000000000005</v>
      </c>
      <c r="AE56" s="23"/>
      <c r="AG56" s="101" t="s">
        <v>63</v>
      </c>
      <c r="AH56" s="24">
        <v>0.3</v>
      </c>
    </row>
    <row r="57" spans="1:34">
      <c r="B57" s="2"/>
      <c r="C57" s="3"/>
      <c r="D57" s="3"/>
      <c r="E57" s="3"/>
      <c r="F57" s="3"/>
      <c r="G57" s="4"/>
      <c r="H57" s="10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106"/>
      <c r="U57" s="106"/>
      <c r="V57" s="106"/>
      <c r="W57" s="106"/>
      <c r="Y57" s="101" t="s">
        <v>87</v>
      </c>
      <c r="Z57" s="20">
        <v>0.97000000000000008</v>
      </c>
      <c r="AA57" s="20"/>
      <c r="AC57" s="104">
        <v>2.7000000000000006</v>
      </c>
      <c r="AD57" s="23">
        <v>2.7000000000000006</v>
      </c>
      <c r="AE57" s="23"/>
      <c r="AG57" s="101" t="s">
        <v>64</v>
      </c>
      <c r="AH57" s="24">
        <v>0.35</v>
      </c>
    </row>
    <row r="58" spans="1:34">
      <c r="B58" s="2"/>
      <c r="C58" s="3"/>
      <c r="D58" s="3"/>
      <c r="E58" s="3"/>
      <c r="F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Y58" s="101" t="s">
        <v>88</v>
      </c>
      <c r="Z58" s="20">
        <v>0.98000000000000009</v>
      </c>
      <c r="AC58" s="104">
        <v>2.8000000000000007</v>
      </c>
      <c r="AD58" s="23">
        <v>2.8000000000000007</v>
      </c>
      <c r="AE58" s="23"/>
      <c r="AG58" s="101" t="s">
        <v>65</v>
      </c>
      <c r="AH58" s="24">
        <v>0.39999999999999997</v>
      </c>
    </row>
    <row r="59" spans="1:34">
      <c r="B59" s="2"/>
      <c r="C59" s="3"/>
      <c r="D59" s="3"/>
      <c r="E59" s="3"/>
      <c r="F59" s="3"/>
      <c r="G59" s="4"/>
      <c r="H59" s="3"/>
      <c r="N59" s="3"/>
      <c r="O59" s="3"/>
      <c r="P59" s="3"/>
      <c r="Q59" s="3"/>
      <c r="R59" s="3"/>
      <c r="S59" s="3"/>
      <c r="T59" s="3"/>
      <c r="U59" s="3"/>
      <c r="V59" s="3"/>
      <c r="W59" s="3"/>
      <c r="AC59" s="104">
        <v>2.9000000000000008</v>
      </c>
      <c r="AD59" s="23">
        <v>2.9000000000000008</v>
      </c>
      <c r="AE59" s="23"/>
      <c r="AG59" s="101" t="s">
        <v>66</v>
      </c>
      <c r="AH59" s="24">
        <v>0.44999999999999996</v>
      </c>
    </row>
    <row r="60" spans="1:34">
      <c r="B60" s="2"/>
      <c r="C60" s="3"/>
      <c r="D60" s="3"/>
      <c r="E60" s="3"/>
      <c r="F60" s="3"/>
      <c r="G60" s="4"/>
      <c r="H60" s="3"/>
      <c r="N60" s="105"/>
      <c r="O60" s="105"/>
      <c r="P60" s="105"/>
      <c r="Q60" s="105"/>
      <c r="R60" s="105"/>
      <c r="S60" s="3"/>
      <c r="T60" s="3"/>
      <c r="U60" s="3"/>
      <c r="V60" s="3"/>
      <c r="W60" s="3"/>
      <c r="AC60" s="104">
        <v>3.0000000000000009</v>
      </c>
      <c r="AD60" s="23">
        <v>3.0000000000000009</v>
      </c>
      <c r="AE60" s="23"/>
      <c r="AG60" s="101" t="s">
        <v>67</v>
      </c>
      <c r="AH60" s="24">
        <v>0.49999999999999994</v>
      </c>
    </row>
    <row r="61" spans="1:34">
      <c r="B61" s="2"/>
      <c r="C61" s="3"/>
      <c r="D61" s="3"/>
      <c r="E61" s="3"/>
      <c r="F61" s="3"/>
      <c r="G61" s="4"/>
      <c r="H61" s="3"/>
      <c r="I61" s="3"/>
      <c r="J61" s="3"/>
      <c r="K61" s="3"/>
      <c r="L61" s="3"/>
      <c r="M61" s="3"/>
      <c r="N61" s="106"/>
      <c r="O61" s="106"/>
      <c r="P61" s="106"/>
      <c r="Q61" s="106"/>
      <c r="R61" s="106"/>
      <c r="S61" s="105"/>
      <c r="T61" s="3"/>
      <c r="U61" s="3"/>
      <c r="V61" s="3"/>
      <c r="W61" s="3"/>
      <c r="AC61" s="104">
        <v>3.100000000000001</v>
      </c>
      <c r="AD61" s="23">
        <v>3.100000000000001</v>
      </c>
      <c r="AE61" s="23"/>
      <c r="AG61" s="101" t="s">
        <v>68</v>
      </c>
      <c r="AH61" s="24">
        <v>0.54999999999999993</v>
      </c>
    </row>
    <row r="62" spans="1:34">
      <c r="B62" s="2"/>
      <c r="C62" s="3"/>
      <c r="D62" s="3"/>
      <c r="E62" s="3"/>
      <c r="F62" s="3"/>
      <c r="G62" s="4"/>
      <c r="I62" s="3"/>
      <c r="J62" s="3"/>
      <c r="K62" s="3"/>
      <c r="L62" s="3"/>
      <c r="M62" s="3"/>
      <c r="N62" s="106"/>
      <c r="O62" s="106"/>
      <c r="P62" s="106"/>
      <c r="Q62" s="106"/>
      <c r="R62" s="106"/>
      <c r="S62" s="106"/>
      <c r="AC62" s="104">
        <v>3.2000000000000011</v>
      </c>
      <c r="AD62" s="23">
        <v>3.2000000000000011</v>
      </c>
      <c r="AE62" s="23"/>
      <c r="AG62" s="101" t="s">
        <v>69</v>
      </c>
      <c r="AH62" s="24">
        <v>0.6</v>
      </c>
    </row>
    <row r="63" spans="1:34">
      <c r="B63" s="2"/>
      <c r="C63" s="3"/>
      <c r="D63" s="3"/>
      <c r="E63" s="3"/>
      <c r="F63" s="3"/>
      <c r="G63" s="4"/>
      <c r="I63" s="3"/>
      <c r="J63" s="3"/>
      <c r="K63" s="3"/>
      <c r="L63" s="3"/>
      <c r="M63" s="3"/>
      <c r="N63" s="106"/>
      <c r="O63" s="106"/>
      <c r="P63" s="106"/>
      <c r="Q63" s="106"/>
      <c r="R63" s="106"/>
      <c r="S63" s="106"/>
      <c r="AC63" s="104">
        <v>3.3000000000000012</v>
      </c>
      <c r="AD63" s="23">
        <v>3.3000000000000012</v>
      </c>
      <c r="AE63" s="23"/>
      <c r="AG63" s="101" t="s">
        <v>73</v>
      </c>
      <c r="AH63" s="24">
        <v>0.65</v>
      </c>
    </row>
    <row r="64" spans="1:34">
      <c r="B64" s="2"/>
      <c r="C64" s="3"/>
      <c r="D64" s="3"/>
      <c r="E64" s="3"/>
      <c r="F64" s="3"/>
      <c r="G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106"/>
      <c r="AC64" s="104">
        <v>3.4000000000000012</v>
      </c>
      <c r="AD64" s="23">
        <v>3.4000000000000012</v>
      </c>
      <c r="AE64" s="23"/>
      <c r="AG64" s="101" t="s">
        <v>70</v>
      </c>
      <c r="AH64" s="24">
        <v>0.70000000000000007</v>
      </c>
    </row>
    <row r="65" spans="2:34">
      <c r="B65" s="2"/>
      <c r="C65" s="3"/>
      <c r="D65" s="3"/>
      <c r="E65" s="3"/>
      <c r="F65" s="3"/>
      <c r="G65" s="4"/>
      <c r="I65" s="105"/>
      <c r="J65" s="105"/>
      <c r="K65" s="105"/>
      <c r="L65" s="105"/>
      <c r="M65" s="105"/>
      <c r="N65" s="3"/>
      <c r="O65" s="3"/>
      <c r="P65" s="3"/>
      <c r="Q65" s="3"/>
      <c r="R65" s="3"/>
      <c r="S65" s="3"/>
      <c r="AC65" s="104">
        <v>3.5000000000000013</v>
      </c>
      <c r="AD65" s="23">
        <v>3.5000000000000013</v>
      </c>
      <c r="AE65" s="23"/>
      <c r="AG65" s="101" t="s">
        <v>71</v>
      </c>
      <c r="AH65" s="24">
        <v>0.75000000000000011</v>
      </c>
    </row>
    <row r="66" spans="2:34">
      <c r="B66" s="2"/>
      <c r="C66" s="3"/>
      <c r="D66" s="3"/>
      <c r="E66" s="3"/>
      <c r="F66" s="3"/>
      <c r="G66" s="4"/>
      <c r="I66" s="106"/>
      <c r="J66" s="106"/>
      <c r="K66" s="106"/>
      <c r="L66" s="106"/>
      <c r="M66" s="106"/>
      <c r="N66" s="3"/>
      <c r="O66" s="3"/>
      <c r="P66" s="3"/>
      <c r="Q66" s="3"/>
      <c r="R66" s="3"/>
      <c r="S66" s="3"/>
      <c r="AC66" s="104">
        <v>3.6000000000000014</v>
      </c>
      <c r="AD66" s="23">
        <v>3.6000000000000014</v>
      </c>
      <c r="AE66" s="23"/>
      <c r="AG66" s="101" t="s">
        <v>72</v>
      </c>
      <c r="AH66" s="24">
        <v>0.80000000000000016</v>
      </c>
    </row>
    <row r="67" spans="2:34">
      <c r="B67" s="2"/>
      <c r="C67" s="3"/>
      <c r="D67" s="3"/>
      <c r="E67" s="3"/>
      <c r="F67" s="3"/>
      <c r="G67" s="4"/>
      <c r="I67" s="106"/>
      <c r="J67" s="106"/>
      <c r="K67" s="106"/>
      <c r="L67" s="106"/>
      <c r="M67" s="106"/>
      <c r="N67" s="3"/>
      <c r="O67" s="3"/>
      <c r="P67" s="3"/>
      <c r="Q67" s="3"/>
      <c r="R67" s="3"/>
      <c r="S67" s="3"/>
      <c r="AC67" s="104">
        <v>3.7000000000000015</v>
      </c>
      <c r="AD67" s="23">
        <v>3.7000000000000015</v>
      </c>
      <c r="AE67" s="23"/>
    </row>
    <row r="68" spans="2:34">
      <c r="B68" s="2"/>
      <c r="C68" s="3"/>
      <c r="D68" s="3"/>
      <c r="E68" s="3"/>
      <c r="F68" s="3"/>
      <c r="G68" s="4"/>
      <c r="I68" s="106"/>
      <c r="J68" s="106"/>
      <c r="K68" s="106"/>
      <c r="L68" s="106"/>
      <c r="M68" s="106"/>
      <c r="S68" s="3"/>
      <c r="AC68" s="104">
        <v>3.8000000000000016</v>
      </c>
      <c r="AD68" s="23">
        <v>3.8000000000000016</v>
      </c>
      <c r="AE68" s="23"/>
    </row>
    <row r="69" spans="2:34">
      <c r="B69" s="2"/>
      <c r="C69" s="3"/>
      <c r="D69" s="3"/>
      <c r="E69" s="3"/>
      <c r="F69" s="3"/>
      <c r="G69" s="4"/>
      <c r="I69" s="3"/>
      <c r="J69" s="3"/>
      <c r="K69" s="3"/>
      <c r="L69" s="3"/>
      <c r="M69" s="3"/>
      <c r="AC69" s="104">
        <v>3.9000000000000017</v>
      </c>
      <c r="AD69" s="23">
        <v>3.9000000000000017</v>
      </c>
      <c r="AE69" s="23"/>
    </row>
    <row r="70" spans="2:34">
      <c r="B70" s="2"/>
      <c r="C70" s="3"/>
      <c r="D70" s="3"/>
      <c r="E70" s="3"/>
      <c r="F70" s="3"/>
      <c r="G70" s="4"/>
      <c r="I70" s="3"/>
      <c r="J70" s="3"/>
      <c r="K70" s="3"/>
      <c r="L70" s="3"/>
      <c r="M70" s="3"/>
      <c r="AC70" s="104">
        <v>4.0000000000000018</v>
      </c>
      <c r="AD70" s="23">
        <v>4.0000000000000018</v>
      </c>
      <c r="AE70" s="23"/>
    </row>
    <row r="71" spans="2:34">
      <c r="B71" s="5"/>
      <c r="C71" s="9"/>
      <c r="D71" s="9"/>
      <c r="E71" s="9"/>
      <c r="F71" s="9"/>
      <c r="G71" s="41" t="s">
        <v>177</v>
      </c>
      <c r="I71" s="3"/>
      <c r="J71" s="3"/>
      <c r="K71" s="3"/>
      <c r="L71" s="3"/>
      <c r="M71" s="3"/>
      <c r="AC71" s="104">
        <v>4.1000000000000014</v>
      </c>
      <c r="AD71" s="23">
        <v>4.1000000000000014</v>
      </c>
      <c r="AE71" s="23"/>
    </row>
    <row r="72" spans="2:34">
      <c r="B72" s="3"/>
      <c r="C72" s="3"/>
      <c r="D72" s="3"/>
      <c r="E72" s="3"/>
      <c r="F72" s="3"/>
      <c r="G72" s="3"/>
      <c r="I72" s="3"/>
      <c r="J72" s="3"/>
      <c r="K72" s="3"/>
      <c r="L72" s="3"/>
      <c r="M72" s="3"/>
      <c r="AC72" s="104">
        <v>4.2000000000000011</v>
      </c>
      <c r="AD72" s="23">
        <v>4.2000000000000011</v>
      </c>
      <c r="AE72" s="23"/>
    </row>
    <row r="73" spans="2:34">
      <c r="AC73" s="104">
        <v>4.3000000000000007</v>
      </c>
      <c r="AD73" s="23">
        <v>4.3000000000000007</v>
      </c>
      <c r="AE73" s="23"/>
    </row>
    <row r="74" spans="2:34">
      <c r="AC74" s="104">
        <v>4.4000000000000004</v>
      </c>
      <c r="AD74" s="23">
        <v>4.4000000000000004</v>
      </c>
      <c r="AE74" s="23"/>
    </row>
    <row r="75" spans="2:34">
      <c r="AC75" s="104">
        <v>4.5</v>
      </c>
      <c r="AD75" s="23">
        <v>4.5</v>
      </c>
      <c r="AE75" s="23"/>
    </row>
    <row r="76" spans="2:34">
      <c r="AC76" s="104">
        <v>4.5999999999999996</v>
      </c>
      <c r="AD76" s="23">
        <v>4.5999999999999996</v>
      </c>
      <c r="AE76" s="23"/>
    </row>
    <row r="77" spans="2:34">
      <c r="AC77" s="104">
        <v>4.6999999999999993</v>
      </c>
      <c r="AD77" s="23">
        <v>4.6999999999999993</v>
      </c>
      <c r="AE77" s="23"/>
    </row>
    <row r="78" spans="2:34">
      <c r="AC78" s="104">
        <v>4.7999999999999989</v>
      </c>
      <c r="AD78" s="23">
        <v>4.7999999999999989</v>
      </c>
      <c r="AE78" s="23"/>
    </row>
    <row r="79" spans="2:34">
      <c r="AC79" s="104">
        <v>4.8999999999999986</v>
      </c>
      <c r="AD79" s="23">
        <v>4.8999999999999986</v>
      </c>
      <c r="AE79" s="23"/>
    </row>
    <row r="80" spans="2:34">
      <c r="AC80" s="104">
        <v>4.9999999999999982</v>
      </c>
      <c r="AD80" s="23">
        <v>4.9999999999999982</v>
      </c>
      <c r="AE80" s="23"/>
    </row>
    <row r="81" spans="29:31">
      <c r="AC81" s="104">
        <v>5.0999999999999979</v>
      </c>
      <c r="AD81" s="23">
        <v>5.0999999999999979</v>
      </c>
      <c r="AE81" s="23"/>
    </row>
    <row r="82" spans="29:31">
      <c r="AC82" s="104">
        <v>5.1999999999999975</v>
      </c>
      <c r="AD82" s="23">
        <v>5.1999999999999975</v>
      </c>
      <c r="AE82" s="23"/>
    </row>
    <row r="83" spans="29:31">
      <c r="AC83" s="104">
        <v>5.2999999999999972</v>
      </c>
      <c r="AD83" s="23">
        <v>5.2999999999999972</v>
      </c>
      <c r="AE83" s="23"/>
    </row>
    <row r="84" spans="29:31">
      <c r="AC84" s="104">
        <v>5.3999999999999968</v>
      </c>
      <c r="AD84" s="23">
        <v>5.3999999999999968</v>
      </c>
      <c r="AE84" s="23"/>
    </row>
    <row r="85" spans="29:31">
      <c r="AC85" s="104">
        <v>5.4999999999999964</v>
      </c>
      <c r="AD85" s="23">
        <v>5.4999999999999964</v>
      </c>
      <c r="AE85" s="23"/>
    </row>
    <row r="86" spans="29:31">
      <c r="AC86" s="104">
        <v>5.5999999999999961</v>
      </c>
      <c r="AD86" s="23">
        <v>5.5999999999999961</v>
      </c>
      <c r="AE86" s="23"/>
    </row>
    <row r="87" spans="29:31">
      <c r="AC87" s="104">
        <v>5.6999999999999957</v>
      </c>
      <c r="AD87" s="23">
        <v>5.6999999999999957</v>
      </c>
      <c r="AE87" s="23"/>
    </row>
    <row r="88" spans="29:31">
      <c r="AC88" s="104">
        <v>5.7999999999999954</v>
      </c>
      <c r="AD88" s="23">
        <v>5.7999999999999954</v>
      </c>
      <c r="AE88" s="23"/>
    </row>
    <row r="89" spans="29:31">
      <c r="AC89" s="104">
        <v>5.899999999999995</v>
      </c>
      <c r="AD89" s="23">
        <v>5.899999999999995</v>
      </c>
      <c r="AE89" s="23"/>
    </row>
    <row r="90" spans="29:31">
      <c r="AC90" s="104">
        <v>5.9999999999999947</v>
      </c>
      <c r="AD90" s="23">
        <v>5.9999999999999947</v>
      </c>
    </row>
  </sheetData>
  <sheetProtection algorithmName="SHA-512" hashValue="PtOrK4AwTgIdd0e/dpJgupBkMj8+hVju5HVSz6YNrzc5MAUYJi3PWaGwUUWpkV752ZlOXIQ22nFHUCbmux6ZUA==" saltValue="HaB7BTKtEWznc46LjwbKXA==" spinCount="100000" sheet="1" objects="1" scenarios="1"/>
  <dataConsolidate/>
  <mergeCells count="4">
    <mergeCell ref="B2:G5"/>
    <mergeCell ref="B49:G49"/>
    <mergeCell ref="B50:G50"/>
    <mergeCell ref="B48:G48"/>
  </mergeCells>
  <dataValidations count="6">
    <dataValidation type="list" allowBlank="1" showInputMessage="1" showErrorMessage="1" sqref="E17:E20" xr:uid="{BAACDDF6-3BE8-B84F-AFB8-6BD1BFB628E2}">
      <formula1>$Y$6:$Y$14</formula1>
    </dataValidation>
    <dataValidation type="list" allowBlank="1" showInputMessage="1" showErrorMessage="1" sqref="F17:F20" xr:uid="{4B58CA57-916E-164A-9C6B-E2FCF8B974F1}">
      <formula1>$Y$19:$Y$34</formula1>
    </dataValidation>
    <dataValidation type="list" allowBlank="1" showInputMessage="1" showErrorMessage="1" sqref="E22:E24" xr:uid="{44EF5227-05DF-734D-A2BC-B63E4BC585DE}">
      <formula1>$Y$44:$Y$58</formula1>
    </dataValidation>
    <dataValidation type="list" allowBlank="1" showInputMessage="1" showErrorMessage="1" sqref="E26:E30" xr:uid="{D5E1E4A1-C453-5B41-80F1-79F6E3837959}">
      <formula1>$AC$49:$AC$90</formula1>
    </dataValidation>
    <dataValidation type="list" allowBlank="1" showInputMessage="1" showErrorMessage="1" sqref="F26:F30" xr:uid="{CDBBC50F-CF37-9F43-9AEA-619D77BA0429}">
      <formula1>$AG$49:$AG$66</formula1>
    </dataValidation>
    <dataValidation type="list" allowBlank="1" showInputMessage="1" showErrorMessage="1" sqref="F22:F24" xr:uid="{0EB686B7-36A5-7F43-BC8D-E05066C05749}">
      <formula1>$AE$19:$AE$36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4E6E-3324-B549-99C1-FDB4890D8AF4}">
  <dimension ref="B3:B10"/>
  <sheetViews>
    <sheetView zoomScale="140" zoomScaleNormal="140" workbookViewId="0">
      <selection activeCell="B12" sqref="B12"/>
    </sheetView>
  </sheetViews>
  <sheetFormatPr baseColWidth="10" defaultRowHeight="16"/>
  <sheetData>
    <row r="3" spans="2:2">
      <c r="B3" t="s">
        <v>172</v>
      </c>
    </row>
    <row r="5" spans="2:2">
      <c r="B5" t="s">
        <v>173</v>
      </c>
    </row>
    <row r="7" spans="2:2">
      <c r="B7" t="s">
        <v>174</v>
      </c>
    </row>
    <row r="8" spans="2:2">
      <c r="B8" t="s">
        <v>175</v>
      </c>
    </row>
    <row r="10" spans="2:2">
      <c r="B10" t="s">
        <v>176</v>
      </c>
    </row>
  </sheetData>
  <sheetProtection algorithmName="SHA-512" hashValue="uLDtq/xoRwkXH7zRxs/VNKkLS8p1D6iKwOdPeD3ci43ntymvA/8cEXEcHw1o4SVJD6Iz9pZqJMLrXXsfuReKMw==" saltValue="1GCBJ5kgW/Ar5EvwYh0Jtg==" spinCount="100000" sheet="1" objects="1" scenarios="1"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593D-C957-4E4E-AD12-4C26C2216D9C}">
  <dimension ref="B2:H17"/>
  <sheetViews>
    <sheetView showGridLines="0" workbookViewId="0">
      <selection activeCell="D20" sqref="D20"/>
    </sheetView>
  </sheetViews>
  <sheetFormatPr baseColWidth="10" defaultRowHeight="16"/>
  <cols>
    <col min="2" max="2" width="14.1640625" customWidth="1"/>
    <col min="6" max="8" width="16.33203125" customWidth="1"/>
  </cols>
  <sheetData>
    <row r="2" spans="2:8">
      <c r="B2" t="s">
        <v>137</v>
      </c>
    </row>
    <row r="4" spans="2:8">
      <c r="F4" s="155" t="s">
        <v>156</v>
      </c>
      <c r="G4" s="155" t="s">
        <v>156</v>
      </c>
      <c r="H4" s="155" t="s">
        <v>156</v>
      </c>
    </row>
    <row r="5" spans="2:8">
      <c r="B5" s="81" t="s">
        <v>54</v>
      </c>
      <c r="C5" s="82" t="s">
        <v>27</v>
      </c>
      <c r="D5" s="82" t="s">
        <v>138</v>
      </c>
      <c r="E5" s="82" t="s">
        <v>139</v>
      </c>
      <c r="F5" s="153" t="s">
        <v>157</v>
      </c>
      <c r="G5" s="153" t="s">
        <v>158</v>
      </c>
      <c r="H5" s="153" t="s">
        <v>159</v>
      </c>
    </row>
    <row r="6" spans="2:8">
      <c r="B6" s="86" t="s">
        <v>28</v>
      </c>
      <c r="C6" s="89">
        <v>6</v>
      </c>
      <c r="D6" s="90">
        <v>62.3</v>
      </c>
      <c r="E6" s="90">
        <v>30.1</v>
      </c>
      <c r="F6" s="154">
        <v>0</v>
      </c>
      <c r="G6" s="154">
        <v>3.5000000000000003E-2</v>
      </c>
      <c r="H6" s="154">
        <v>2.4E-2</v>
      </c>
    </row>
    <row r="7" spans="2:8">
      <c r="B7" s="152" t="s">
        <v>32</v>
      </c>
      <c r="C7" s="89">
        <v>6</v>
      </c>
      <c r="D7" s="90">
        <v>72.3</v>
      </c>
      <c r="E7" s="23">
        <v>30.1</v>
      </c>
      <c r="F7" s="154">
        <v>0</v>
      </c>
      <c r="G7" s="154">
        <v>3.5000000000000003E-2</v>
      </c>
      <c r="H7" s="154">
        <v>2.4E-2</v>
      </c>
    </row>
    <row r="8" spans="2:8">
      <c r="B8" s="86" t="s">
        <v>29</v>
      </c>
      <c r="C8" s="89">
        <v>9</v>
      </c>
      <c r="D8" s="90">
        <v>65.599999999999994</v>
      </c>
      <c r="E8" s="23">
        <v>29.3</v>
      </c>
      <c r="F8" s="154">
        <v>0</v>
      </c>
      <c r="G8" s="154">
        <v>0.1</v>
      </c>
      <c r="H8" s="154">
        <v>0.1</v>
      </c>
    </row>
    <row r="9" spans="2:8">
      <c r="B9" s="86" t="s">
        <v>33</v>
      </c>
      <c r="C9" s="89">
        <v>9</v>
      </c>
      <c r="D9" s="90">
        <v>76.5</v>
      </c>
      <c r="E9" s="23">
        <v>29.4</v>
      </c>
      <c r="F9" s="154">
        <v>0</v>
      </c>
      <c r="G9" s="154">
        <v>3.9E-2</v>
      </c>
      <c r="H9" s="154">
        <v>3.9E-2</v>
      </c>
    </row>
    <row r="10" spans="2:8">
      <c r="B10" s="86" t="s">
        <v>30</v>
      </c>
      <c r="C10" s="89">
        <v>14.5</v>
      </c>
      <c r="D10" s="90">
        <v>62.3</v>
      </c>
      <c r="E10" s="23">
        <v>29.5</v>
      </c>
      <c r="F10" s="154">
        <v>0</v>
      </c>
      <c r="G10" s="154">
        <v>5.8999999999999997E-2</v>
      </c>
      <c r="H10" s="154">
        <v>5.8999999999999997E-2</v>
      </c>
    </row>
    <row r="11" spans="2:8">
      <c r="B11" s="86" t="s">
        <v>34</v>
      </c>
      <c r="C11" s="89">
        <v>14.5</v>
      </c>
      <c r="D11" s="90">
        <v>73.900000000000006</v>
      </c>
      <c r="E11" s="23">
        <v>29.3</v>
      </c>
      <c r="F11" s="154">
        <v>0</v>
      </c>
      <c r="G11" s="154">
        <v>3.4000000000000002E-2</v>
      </c>
      <c r="H11" s="154">
        <v>3.4000000000000002E-2</v>
      </c>
    </row>
    <row r="12" spans="2:8">
      <c r="B12" s="86" t="s">
        <v>31</v>
      </c>
      <c r="C12" s="89">
        <v>20</v>
      </c>
      <c r="D12" s="90">
        <v>63.4</v>
      </c>
      <c r="E12" s="23">
        <v>32.700000000000003</v>
      </c>
      <c r="F12" s="154">
        <v>0</v>
      </c>
      <c r="G12" s="154">
        <v>7.8E-2</v>
      </c>
      <c r="H12" s="154">
        <v>2.5000000000000001E-2</v>
      </c>
    </row>
    <row r="13" spans="2:8">
      <c r="B13" s="86" t="s">
        <v>35</v>
      </c>
      <c r="C13" s="89">
        <v>20</v>
      </c>
      <c r="D13" s="90">
        <v>73.2</v>
      </c>
      <c r="E13" s="23">
        <v>32.700000000000003</v>
      </c>
      <c r="F13" s="154">
        <v>0</v>
      </c>
      <c r="G13" s="154">
        <v>8.1000000000000003E-2</v>
      </c>
      <c r="H13" s="154">
        <v>2.5000000000000001E-2</v>
      </c>
    </row>
    <row r="16" spans="2:8">
      <c r="B16" s="163" t="s">
        <v>182</v>
      </c>
    </row>
    <row r="17" spans="2:2">
      <c r="B17" s="163" t="s">
        <v>183</v>
      </c>
    </row>
  </sheetData>
  <sheetProtection algorithmName="SHA-512" hashValue="olAQ8++1kqe7JvO7hi4i3l4kUI5Yv//o0tXuXErbVK+FOobtayevs3+mx55KoLkSHRf/BIV98dpMZvB69MifNA==" saltValue="QNc1XB99mw6q7GURZ+ag+A==" spinCount="100000" sheet="1" objects="1" scenarios="1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16</vt:i4>
      </vt:variant>
    </vt:vector>
  </HeadingPairs>
  <TitlesOfParts>
    <vt:vector size="19" baseType="lpstr">
      <vt:lpstr>FW 309 Teil 1</vt:lpstr>
      <vt:lpstr>Hinweis</vt:lpstr>
      <vt:lpstr>Technische Daten</vt:lpstr>
      <vt:lpstr>'FW 309 Teil 1'!Druckbereich</vt:lpstr>
      <vt:lpstr>EMFA_Strom_netzbezogen</vt:lpstr>
      <vt:lpstr>EMFA_Verdrängungsmix</vt:lpstr>
      <vt:lpstr>KWK_Deckungsanteil</vt:lpstr>
      <vt:lpstr>PEF_Brennstoff_BHKW</vt:lpstr>
      <vt:lpstr>PEF_Brennstoff_Kessel</vt:lpstr>
      <vt:lpstr>PEF_verdraengter_Strom</vt:lpstr>
      <vt:lpstr>Strom_netzbezogen</vt:lpstr>
      <vt:lpstr>Tabelle_1</vt:lpstr>
      <vt:lpstr>Tabelle_2</vt:lpstr>
      <vt:lpstr>Tabelle_3</vt:lpstr>
      <vt:lpstr>Tabelle_4</vt:lpstr>
      <vt:lpstr>Tabelle_5</vt:lpstr>
      <vt:lpstr>Tabelle_6</vt:lpstr>
      <vt:lpstr>Tabelle_7</vt:lpstr>
      <vt:lpstr>Verdrängungsstrommix_für_KWK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 Mueller</dc:creator>
  <cp:lastModifiedBy>Microsoft Office User</cp:lastModifiedBy>
  <cp:lastPrinted>2021-10-17T15:58:17Z</cp:lastPrinted>
  <dcterms:created xsi:type="dcterms:W3CDTF">2019-10-07T18:31:07Z</dcterms:created>
  <dcterms:modified xsi:type="dcterms:W3CDTF">2021-10-28T14:58:41Z</dcterms:modified>
</cp:coreProperties>
</file>